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Cover" sheetId="1" state="visible" r:id="rId1"/>
    <sheet xmlns:r="http://schemas.openxmlformats.org/officeDocument/2006/relationships" name="Inputs" sheetId="2" state="visible" r:id="rId2"/>
    <sheet xmlns:r="http://schemas.openxmlformats.org/officeDocument/2006/relationships" name="Calculations" sheetId="3" state="visible" r:id="rId3"/>
    <sheet xmlns:r="http://schemas.openxmlformats.org/officeDocument/2006/relationships" name="Comparison" sheetId="4" state="visible" r:id="rId4"/>
    <sheet xmlns:r="http://schemas.openxmlformats.org/officeDocument/2006/relationships" name="Dashboard" sheetId="5" state="visible" r:id="rId5"/>
    <sheet xmlns:r="http://schemas.openxmlformats.org/officeDocument/2006/relationships" name="Sensitivity" sheetId="6" state="visible" r:id="rId6"/>
    <sheet xmlns:r="http://schemas.openxmlformats.org/officeDocument/2006/relationships" name="Notes_Sources" sheetId="7" state="visible" r:id="rId7"/>
    <sheet xmlns:r="http://schemas.openxmlformats.org/officeDocument/2006/relationships" name="Sensitivity_Engine" sheetId="8" state="visible" r:id="rId8"/>
  </sheets>
  <definedNames/>
  <calcPr calcId="124519" fullCalcOnLoad="1" refMode="A1" iterate="0" iterateCount="100" iterateDelta="0.0001"/>
</workbook>
</file>

<file path=xl/styles.xml><?xml version="1.0" encoding="utf-8"?>
<styleSheet xmlns="http://schemas.openxmlformats.org/spreadsheetml/2006/main">
  <numFmts count="7">
    <numFmt numFmtId="164" formatCode="\$#,##0"/>
    <numFmt numFmtId="165" formatCode="0.0%"/>
    <numFmt numFmtId="166" formatCode="\$#,##0.00"/>
    <numFmt numFmtId="167" formatCode="0.0"/>
    <numFmt numFmtId="168" formatCode="0.000"/>
    <numFmt numFmtId="169" formatCode="0.0000"/>
    <numFmt numFmtId="170" formatCode="0.0&quot;x&quot;"/>
  </numFmts>
  <fonts count="22">
    <font>
      <name val="Calibri"/>
      <charset val="1"/>
      <family val="2"/>
      <color rgb="FF000000"/>
      <sz val="11"/>
    </font>
    <font>
      <name val="Arial"/>
      <family val="0"/>
      <sz val="10"/>
    </font>
    <font>
      <name val="Arial"/>
      <family val="0"/>
      <sz val="10"/>
    </font>
    <font>
      <name val="Arial"/>
      <family val="0"/>
      <sz val="10"/>
    </font>
    <font>
      <name val="Calibri"/>
      <charset val="1"/>
      <family val="0"/>
      <b val="1"/>
      <color rgb="FF1F4E79"/>
      <sz val="18"/>
    </font>
    <font>
      <name val="Calibri"/>
      <charset val="1"/>
      <family val="0"/>
      <i val="1"/>
      <color rgb="FF1F4E79"/>
      <sz val="14"/>
    </font>
    <font>
      <name val="Calibri"/>
      <charset val="1"/>
      <family val="0"/>
      <b val="1"/>
      <color rgb="FF1F4E79"/>
      <sz val="12"/>
    </font>
    <font>
      <name val="Calibri"/>
      <charset val="1"/>
      <family val="0"/>
      <i val="1"/>
      <color rgb="FF666666"/>
      <sz val="10"/>
    </font>
    <font>
      <name val="Calibri"/>
      <charset val="1"/>
      <family val="0"/>
      <b val="1"/>
      <color rgb="FFFFFFFF"/>
      <sz val="14"/>
    </font>
    <font>
      <name val="Cambria"/>
      <charset val="1"/>
      <family val="0"/>
      <i val="1"/>
      <color rgb="FF666666"/>
      <sz val="11"/>
    </font>
    <font>
      <name val="Calibri"/>
      <charset val="1"/>
      <family val="0"/>
      <color rgb="FF0000FF"/>
      <sz val="11"/>
    </font>
    <font>
      <name val="Calibri"/>
      <charset val="1"/>
      <family val="0"/>
      <color rgb="FF000000"/>
      <sz val="11"/>
    </font>
    <font>
      <name val="Calibri"/>
      <charset val="1"/>
      <family val="0"/>
      <b val="1"/>
      <sz val="11"/>
    </font>
    <font>
      <name val="Calibri"/>
      <charset val="1"/>
      <family val="0"/>
      <b val="1"/>
      <color rgb="FF006600"/>
      <sz val="16"/>
    </font>
    <font>
      <name val="Calibri"/>
      <family val="2"/>
      <b val="1"/>
      <color rgb="FF000000"/>
      <sz val="18"/>
    </font>
    <font>
      <name val="Calibri"/>
      <family val="2"/>
      <color rgb="FF000000"/>
      <sz val="10"/>
    </font>
    <font>
      <name val="Calibri"/>
      <family val="2"/>
      <b val="1"/>
      <color rgb="FF000000"/>
      <sz val="10"/>
    </font>
    <font>
      <name val="Calibri"/>
      <b val="1"/>
      <color rgb="001F4E79"/>
      <sz val="18"/>
    </font>
    <font>
      <name val="Calibri"/>
      <i val="1"/>
      <color rgb="001F4E79"/>
      <sz val="14"/>
    </font>
    <font>
      <name val="Calibri"/>
      <i val="1"/>
      <color rgb="001F4E79"/>
      <sz val="10"/>
    </font>
    <font>
      <name val="Calibri"/>
      <b val="1"/>
      <color rgb="001F4E79"/>
      <sz val="12"/>
    </font>
    <font>
      <name val="Calibri"/>
      <sz val="11"/>
    </font>
  </fonts>
  <fills count="6">
    <fill>
      <patternFill/>
    </fill>
    <fill>
      <patternFill patternType="gray125"/>
    </fill>
    <fill>
      <patternFill patternType="solid">
        <fgColor rgb="FF1F4E79"/>
        <bgColor rgb="FF003366"/>
      </patternFill>
    </fill>
    <fill>
      <patternFill patternType="solid">
        <fgColor rgb="FFFFFF99"/>
        <bgColor rgb="FFFFFFCC"/>
      </patternFill>
    </fill>
    <fill>
      <patternFill patternType="solid">
        <fgColor rgb="FFD6EAF8"/>
        <bgColor rgb="FFD9D9D9"/>
      </patternFill>
    </fill>
    <fill>
      <patternFill patternType="solid">
        <fgColor rgb="FFC6EFCE"/>
        <bgColor rgb="FFD6EAF8"/>
      </patternFill>
    </fill>
  </fills>
  <borders count="1">
    <border>
      <left/>
      <right/>
      <top/>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56">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bottom"/>
    </xf>
    <xf numFmtId="0" fontId="0" fillId="0" borderId="0" applyAlignment="1" pivotButton="0" quotePrefix="0" xfId="0">
      <alignment horizontal="general" vertical="top" wrapText="1"/>
    </xf>
    <xf numFmtId="0" fontId="0" fillId="0" borderId="0" applyAlignment="1" pivotButton="0" quotePrefix="0" xfId="0">
      <alignment horizontal="general" vertical="bottom" wrapText="1"/>
    </xf>
    <xf numFmtId="0" fontId="7" fillId="0" borderId="0" applyAlignment="1" pivotButton="0" quotePrefix="0" xfId="0">
      <alignment horizontal="general" vertical="bottom"/>
    </xf>
    <xf numFmtId="0" fontId="8" fillId="2" borderId="0" applyAlignment="1" pivotButton="0" quotePrefix="0" xfId="0">
      <alignment horizontal="general" vertical="bottom"/>
    </xf>
    <xf numFmtId="0" fontId="9" fillId="0" borderId="0" applyAlignment="1" pivotButton="0" quotePrefix="0" xfId="0">
      <alignment horizontal="general" vertical="bottom"/>
    </xf>
    <xf numFmtId="0" fontId="6" fillId="0" borderId="0" applyAlignment="1" pivotButton="0" quotePrefix="0" xfId="0">
      <alignment horizontal="general" vertical="bottom"/>
    </xf>
    <xf numFmtId="0" fontId="10" fillId="3" borderId="0" applyAlignment="1" pivotButton="0" quotePrefix="0" xfId="0">
      <alignment horizontal="general" vertical="bottom"/>
    </xf>
    <xf numFmtId="164" fontId="10" fillId="3" borderId="0" applyAlignment="1" pivotButton="0" quotePrefix="0" xfId="0">
      <alignment horizontal="general" vertical="bottom"/>
    </xf>
    <xf numFmtId="165" fontId="10" fillId="3" borderId="0" applyAlignment="1" pivotButton="0" quotePrefix="0" xfId="0">
      <alignment horizontal="general" vertical="bottom"/>
    </xf>
    <xf numFmtId="165" fontId="11" fillId="0" borderId="0" applyAlignment="1" pivotButton="0" quotePrefix="0" xfId="0">
      <alignment horizontal="general" vertical="bottom"/>
    </xf>
    <xf numFmtId="166" fontId="10" fillId="3" borderId="0" applyAlignment="1" pivotButton="0" quotePrefix="0" xfId="0">
      <alignment horizontal="general" vertical="bottom"/>
    </xf>
    <xf numFmtId="3" fontId="0" fillId="0" borderId="0" applyAlignment="1" pivotButton="0" quotePrefix="0" xfId="0">
      <alignment horizontal="general" vertical="bottom"/>
    </xf>
    <xf numFmtId="166" fontId="0" fillId="0" borderId="0" applyAlignment="1" pivotButton="0" quotePrefix="0" xfId="0">
      <alignment horizontal="general" vertical="bottom"/>
    </xf>
    <xf numFmtId="164" fontId="0" fillId="0" borderId="0" applyAlignment="1" pivotButton="0" quotePrefix="0" xfId="0">
      <alignment horizontal="general" vertical="bottom"/>
    </xf>
    <xf numFmtId="165" fontId="0" fillId="0" borderId="0" applyAlignment="1" pivotButton="0" quotePrefix="0" xfId="0">
      <alignment horizontal="general" vertical="bottom"/>
    </xf>
    <xf numFmtId="167" fontId="0" fillId="0" borderId="0" applyAlignment="1" pivotButton="0" quotePrefix="0" xfId="0">
      <alignment horizontal="general" vertical="bottom"/>
    </xf>
    <xf numFmtId="0" fontId="12" fillId="4" borderId="0" applyAlignment="1" pivotButton="0" quotePrefix="0" xfId="0">
      <alignment horizontal="general" vertical="bottom"/>
    </xf>
    <xf numFmtId="0" fontId="12" fillId="0" borderId="0" applyAlignment="1" pivotButton="0" quotePrefix="0" xfId="0">
      <alignment horizontal="general" vertical="bottom"/>
    </xf>
    <xf numFmtId="0" fontId="13" fillId="5" borderId="0" applyAlignment="1" pivotButton="0" quotePrefix="0" xfId="0">
      <alignment horizontal="general" vertical="bottom"/>
    </xf>
    <xf numFmtId="0" fontId="0" fillId="0" borderId="0" applyAlignment="1" pivotButton="0" quotePrefix="0" xfId="0">
      <alignment horizontal="general" vertical="bottom" wrapText="1"/>
    </xf>
    <xf numFmtId="0" fontId="0" fillId="0" borderId="0" applyAlignment="1" pivotButton="0" quotePrefix="0" xfId="0">
      <alignment horizontal="general" vertical="bottom"/>
    </xf>
    <xf numFmtId="0" fontId="0" fillId="0" borderId="0" pivotButton="0" quotePrefix="0" xfId="0"/>
    <xf numFmtId="0" fontId="17" fillId="0" borderId="0" applyAlignment="1" pivotButton="0" quotePrefix="0" xfId="0">
      <alignment horizontal="general" vertical="bottom"/>
    </xf>
    <xf numFmtId="0" fontId="18" fillId="0" borderId="0" applyAlignment="1" pivotButton="0" quotePrefix="0" xfId="0">
      <alignment horizontal="general" vertical="bottom"/>
    </xf>
    <xf numFmtId="0" fontId="6" fillId="0" borderId="0" applyAlignment="1" pivotButton="0" quotePrefix="0" xfId="0">
      <alignment horizontal="general" vertical="bottom"/>
    </xf>
    <xf numFmtId="0" fontId="0" fillId="0" borderId="0" applyAlignment="1" pivotButton="0" quotePrefix="0" xfId="0">
      <alignment vertical="top" wrapText="1"/>
    </xf>
    <xf numFmtId="0" fontId="0" fillId="0" borderId="0" applyAlignment="1" pivotButton="0" quotePrefix="0" xfId="0">
      <alignment horizontal="general" vertical="bottom" wrapText="1"/>
    </xf>
    <xf numFmtId="0" fontId="0" fillId="0" borderId="0" applyAlignment="1" pivotButton="0" quotePrefix="0" xfId="0">
      <alignment horizontal="general" vertical="top" wrapText="1"/>
    </xf>
    <xf numFmtId="0" fontId="19" fillId="0" borderId="0" applyAlignment="1" pivotButton="0" quotePrefix="0" xfId="0">
      <alignment horizontal="general" vertical="bottom"/>
    </xf>
    <xf numFmtId="0" fontId="20" fillId="0" borderId="0" pivotButton="0" quotePrefix="0" xfId="0"/>
    <xf numFmtId="0" fontId="21" fillId="0" borderId="0" applyAlignment="1" pivotButton="0" quotePrefix="0" xfId="0">
      <alignment vertical="top" wrapText="1"/>
    </xf>
    <xf numFmtId="0" fontId="8" fillId="2" borderId="0" applyAlignment="1" pivotButton="0" quotePrefix="0" xfId="0">
      <alignment horizontal="general" vertical="bottom"/>
    </xf>
    <xf numFmtId="0" fontId="9" fillId="0" borderId="0" applyAlignment="1" pivotButton="0" quotePrefix="0" xfId="0">
      <alignment horizontal="general" vertical="bottom"/>
    </xf>
    <xf numFmtId="0" fontId="10" fillId="3" borderId="0" applyAlignment="1" pivotButton="0" quotePrefix="0" xfId="0">
      <alignment horizontal="general" vertical="bottom"/>
    </xf>
    <xf numFmtId="164" fontId="10" fillId="3" borderId="0" applyAlignment="1" pivotButton="0" quotePrefix="0" xfId="0">
      <alignment horizontal="general" vertical="bottom"/>
    </xf>
    <xf numFmtId="165" fontId="10" fillId="3" borderId="0" applyAlignment="1" pivotButton="0" quotePrefix="0" xfId="0">
      <alignment horizontal="general" vertical="bottom"/>
    </xf>
    <xf numFmtId="165" fontId="11" fillId="0" borderId="0" applyAlignment="1" pivotButton="0" quotePrefix="0" xfId="0">
      <alignment horizontal="general" vertical="bottom"/>
    </xf>
    <xf numFmtId="166" fontId="10" fillId="3" borderId="0" applyAlignment="1" pivotButton="0" quotePrefix="0" xfId="0">
      <alignment horizontal="general" vertical="bottom"/>
    </xf>
    <xf numFmtId="3" fontId="0" fillId="0" borderId="0" applyAlignment="1" pivotButton="0" quotePrefix="0" xfId="0">
      <alignment horizontal="general" vertical="bottom"/>
    </xf>
    <xf numFmtId="166" fontId="0" fillId="0" borderId="0" applyAlignment="1" pivotButton="0" quotePrefix="0" xfId="0">
      <alignment horizontal="general" vertical="bottom"/>
    </xf>
    <xf numFmtId="164" fontId="0" fillId="0" borderId="0" applyAlignment="1" pivotButton="0" quotePrefix="0" xfId="0">
      <alignment horizontal="general" vertical="bottom"/>
    </xf>
    <xf numFmtId="165" fontId="0" fillId="0" borderId="0" applyAlignment="1" pivotButton="0" quotePrefix="0" xfId="0">
      <alignment horizontal="general" vertical="bottom"/>
    </xf>
    <xf numFmtId="167" fontId="0" fillId="0" borderId="0" applyAlignment="1" pivotButton="0" quotePrefix="0" xfId="0">
      <alignment horizontal="general" vertical="bottom"/>
    </xf>
    <xf numFmtId="0" fontId="12" fillId="4" borderId="0" applyAlignment="1" pivotButton="0" quotePrefix="0" xfId="0">
      <alignment horizontal="general" vertical="bottom"/>
    </xf>
    <xf numFmtId="0" fontId="12" fillId="0" borderId="0" applyAlignment="1" pivotButton="0" quotePrefix="0" xfId="0">
      <alignment horizontal="general" vertical="bottom"/>
    </xf>
    <xf numFmtId="0" fontId="13" fillId="5" borderId="0" applyAlignment="1" pivotButton="0" quotePrefix="0" xfId="0">
      <alignment horizontal="general" vertical="bottom"/>
    </xf>
    <xf numFmtId="3" fontId="10" fillId="3" borderId="0" applyAlignment="1" pivotButton="0" quotePrefix="0" xfId="0">
      <alignment horizontal="general" vertical="bottom"/>
    </xf>
    <xf numFmtId="168" fontId="0" fillId="0" borderId="0" applyAlignment="1" pivotButton="0" quotePrefix="0" xfId="0">
      <alignment horizontal="general" vertical="bottom"/>
    </xf>
    <xf numFmtId="169" fontId="0" fillId="0" borderId="0" applyAlignment="1" pivotButton="0" quotePrefix="0" xfId="0">
      <alignment horizontal="general" vertical="bottom"/>
    </xf>
    <xf numFmtId="170" fontId="0" fillId="0" borderId="0" applyAlignment="1" pivotButton="0" quotePrefix="0" xfId="0">
      <alignment horizontal="general" vertical="bottom"/>
    </xf>
    <xf numFmtId="2" fontId="10" fillId="3"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6600"/>
      <rgbColor rgb="FF000080"/>
      <rgbColor rgb="FF808000"/>
      <rgbColor rgb="FF800080"/>
      <rgbColor rgb="FF008080"/>
      <rgbColor rgb="FFC0C0C0"/>
      <rgbColor rgb="FF878787"/>
      <rgbColor rgb="FF9999FF"/>
      <rgbColor rgb="FF993366"/>
      <rgbColor rgb="FFFFFFCC"/>
      <rgbColor rgb="FFD6EAF8"/>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6EFCE"/>
      <rgbColor rgb="FFFFFF99"/>
      <rgbColor rgb="FF99CCFF"/>
      <rgbColor rgb="FFFF99CC"/>
      <rgbColor rgb="FFCC99FF"/>
      <rgbColor rgb="FFFFCC99"/>
      <rgbColor rgb="FF4F81BD"/>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1F4E7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harts/chart1.xml><?xml version="1.0" encoding="utf-8"?>
<chartSpace xmlns="http://schemas.openxmlformats.org/drawingml/2006/chart">
  <chart>
    <title>
      <tx>
        <rich>
          <a:bodyPr xmlns:a="http://schemas.openxmlformats.org/drawingml/2006/main" rot="0"/>
          <a:lstStyle xmlns:a="http://schemas.openxmlformats.org/drawingml/2006/main"/>
          <a:p xmlns:a="http://schemas.openxmlformats.org/drawingml/2006/main">
            <a:pPr>
              <a:defRPr sz="1800" b="1" strike="noStrike" spc="-1">
                <a:solidFill>
                  <a:srgbClr val="000000"/>
                </a:solidFill>
                <a:latin typeface="Calibri"/>
              </a:defRPr>
            </a:pPr>
            <a:r>
              <a:rPr sz="1800" b="1" strike="noStrike" spc="-1">
                <a:solidFill>
                  <a:srgbClr val="000000"/>
                </a:solidFill>
                <a:latin typeface="Calibri"/>
              </a:rPr>
              <a:t>3-Year TCO Comparison</a:t>
            </a:r>
          </a:p>
        </rich>
      </tx>
      <overlay val="0"/>
      <spPr>
        <a:noFill xmlns:a="http://schemas.openxmlformats.org/drawingml/2006/main"/>
        <a:ln xmlns:a="http://schemas.openxmlformats.org/drawingml/2006/main" w="0">
          <a:noFill/>
          <a:prstDash val="solid"/>
        </a:ln>
      </spPr>
    </title>
    <plotArea>
      <barChart>
        <barDir val="col"/>
        <grouping val="clustered"/>
        <varyColors val="0"/>
        <ser>
          <idx val="0"/>
          <order val="0"/>
          <tx>
            <strRef>
              <f>Comparison!E3</f>
              <strCache>
                <ptCount val="1"/>
                <pt idx="0">
                  <v>3-Year Total</v>
                </pt>
              </strCache>
            </strRef>
          </tx>
          <spPr>
            <a:solidFill xmlns:a="http://schemas.openxmlformats.org/drawingml/2006/main">
              <a:srgbClr val="4f81bd"/>
            </a:solidFill>
            <a:ln xmlns:a="http://schemas.openxmlformats.org/drawingml/2006/main" w="0">
              <a:noFill/>
              <a:prstDash val="solid"/>
            </a:ln>
          </spPr>
          <invertIfNegative val="0"/>
          <dLbls>
            <txPr>
              <a:bodyPr xmlns:a="http://schemas.openxmlformats.org/drawingml/2006/main" wrap="square"/>
              <a:lstStyle xmlns:a="http://schemas.openxmlformats.org/drawingml/2006/main"/>
              <a:p xmlns:a="http://schemas.openxmlformats.org/drawingml/2006/main">
                <a:pPr>
                  <a:defRPr sz="1000" b="0" strike="noStrike" spc="-1">
                    <a:solidFill>
                      <a:srgbClr val="000000"/>
                    </a:solidFill>
                    <a:latin typeface="Arial"/>
                  </a:defRPr>
                </a:pPr>
                <a:r>
                  <a:t>None</a:t>
                </a:r>
              </a:p>
            </txPr>
            <dLblPos val="outEnd"/>
            <showLegendKey val="0"/>
            <showVal val="0"/>
            <showCatName val="0"/>
            <showSerName val="0"/>
            <showPercent val="0"/>
            <showLeaderLines val="1"/>
          </dLbls>
          <cat>
            <strRef>
              <f>Comparison!$A$4:$A$6</f>
              <strCache>
                <ptCount val="3"/>
                <pt idx="0">
                  <v>Rent the Frontier</v>
                </pt>
                <pt idx="1">
                  <v>Buy the Frontier (Own)</v>
                </pt>
                <pt idx="2">
                  <v>Hybrid</v>
                </pt>
              </strCache>
            </strRef>
          </cat>
          <val>
            <numRef>
              <f>Comparison!$E$4:$E$6</f>
              <numCache>
                <formatCode>General</formatCode>
                <ptCount val="3"/>
                <pt idx="0">
                  <v>1090482</v>
                </pt>
                <pt idx="1">
                  <v>7707665.325</v>
                </pt>
                <pt idx="2">
                  <v>5160791.995</v>
                </pt>
              </numCache>
            </numRef>
          </val>
        </ser>
        <gapWidth val="150"/>
        <overlap val="0"/>
        <axId val="87257034"/>
        <axId val="9678229"/>
      </barChart>
      <catAx>
        <axId val="87257034"/>
        <scaling>
          <orientation val="minMax"/>
        </scaling>
        <delete val="0"/>
        <axPos val="b"/>
        <numFmt formatCode="General" sourceLinked="0"/>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spc="-1">
                <a:solidFill>
                  <a:srgbClr val="000000"/>
                </a:solidFill>
                <a:latin typeface="Calibri"/>
              </a:defRPr>
            </a:pPr>
            <a:r>
              <a:t>None</a:t>
            </a:r>
          </a:p>
        </txPr>
        <crossAx val="9678229"/>
        <crosses val="autoZero"/>
        <auto val="1"/>
        <lblAlgn val="ctr"/>
        <lblOffset val="100"/>
        <noMultiLvlLbl val="0"/>
      </catAx>
      <valAx>
        <axId val="9678229"/>
        <scaling>
          <orientation val="minMax"/>
        </scaling>
        <delete val="0"/>
        <axPos val="l"/>
        <majorGridlines>
          <spPr>
            <a:ln xmlns:a="http://schemas.openxmlformats.org/drawingml/2006/main" w="9360">
              <a:solidFill>
                <a:srgbClr val="878787"/>
              </a:solidFill>
              <a:prstDash val="solid"/>
              <a:round/>
            </a:ln>
          </spPr>
        </majorGridlines>
        <title>
          <tx>
            <rich>
              <a:bodyPr xmlns:a="http://schemas.openxmlformats.org/drawingml/2006/main" rot="-5400000"/>
              <a:lstStyle xmlns:a="http://schemas.openxmlformats.org/drawingml/2006/main"/>
              <a:p xmlns:a="http://schemas.openxmlformats.org/drawingml/2006/main">
                <a:pPr>
                  <a:defRPr sz="1000" b="1" strike="noStrike" spc="-1">
                    <a:solidFill>
                      <a:srgbClr val="000000"/>
                    </a:solidFill>
                    <a:latin typeface="Calibri"/>
                  </a:defRPr>
                </a:pPr>
                <a:r>
                  <a:rPr sz="1000" b="1" strike="noStrike" spc="-1">
                    <a:solidFill>
                      <a:srgbClr val="000000"/>
                    </a:solidFill>
                    <a:latin typeface="Calibri"/>
                  </a:rPr>
                  <a:t>Total Cost ($)</a:t>
                </a:r>
              </a:p>
            </rich>
          </tx>
          <overlay val="0"/>
          <spPr>
            <a:noFill xmlns:a="http://schemas.openxmlformats.org/drawingml/2006/main"/>
            <a:ln xmlns:a="http://schemas.openxmlformats.org/drawingml/2006/main" w="0">
              <a:noFill/>
              <a:prstDash val="solid"/>
            </a:ln>
          </spPr>
        </title>
        <numFmt formatCode="\$#,##0" sourceLinked="0"/>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spc="-1">
                <a:solidFill>
                  <a:srgbClr val="000000"/>
                </a:solidFill>
                <a:latin typeface="Calibri"/>
              </a:defRPr>
            </a:pPr>
            <a:r>
              <a:t>None</a:t>
            </a:r>
          </a:p>
        </txPr>
        <crossAx val="87257034"/>
        <crosses val="autoZero"/>
        <crossBetween val="between"/>
      </valAx>
    </plotArea>
    <legend>
      <legendPos val="r"/>
      <overlay val="0"/>
      <spPr>
        <a:noFill xmlns:a="http://schemas.openxmlformats.org/drawingml/2006/main"/>
        <a:ln xmlns:a="http://schemas.openxmlformats.org/drawingml/2006/main" w="0">
          <a:noFill/>
          <a:prstDash val="solid"/>
        </a:ln>
      </spPr>
      <txPr>
        <a:bodyPr xmlns:a="http://schemas.openxmlformats.org/drawingml/2006/main"/>
        <a:lstStyle xmlns:a="http://schemas.openxmlformats.org/drawingml/2006/main"/>
        <a:p xmlns:a="http://schemas.openxmlformats.org/drawingml/2006/main">
          <a:pPr>
            <a:defRPr sz="1000" b="0" strike="noStrike" spc="-1">
              <a:solidFill>
                <a:srgbClr val="000000"/>
              </a:solidFill>
              <a:latin typeface="Calibri"/>
            </a:defRPr>
          </a:pPr>
          <a:r>
            <a:t>None</a:t>
          </a:r>
        </a:p>
      </txPr>
    </legend>
    <plotVisOnly val="1"/>
    <dispBlanksAs val="gap"/>
  </chart>
  <spPr>
    <a:solidFill xmlns:a="http://schemas.openxmlformats.org/drawingml/2006/main">
      <a:srgbClr val="ffffff"/>
    </a:solidFill>
    <a:ln xmlns:a="http://schemas.openxmlformats.org/drawingml/2006/main" w="9360">
      <a:solidFill>
        <a:srgbClr val="d9d9d9"/>
      </a:solidFill>
      <a:prstDash val="solid"/>
      <a:round/>
    </a:ln>
  </spPr>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twoCellAnchor editAs="oneCell">
    <from>
      <col>3</col>
      <colOff>0</colOff>
      <row>9</row>
      <rowOff>0</rowOff>
    </from>
    <to>
      <col>11</col>
      <colOff>507240</colOff>
      <row>23</row>
      <rowOff>32400</rowOff>
    </to>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filterMode="0">
    <tabColor rgb="FF1F4E79"/>
    <outlinePr summaryBelow="1" summaryRight="1"/>
    <pageSetUpPr fitToPage="1"/>
  </sheetPr>
  <dimension ref="A1:H37"/>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20" customWidth="1" style="25" min="1" max="1"/>
  </cols>
  <sheetData>
    <row r="1" ht="15" customHeight="1" s="26">
      <c r="A1" s="27" t="inlineStr">
        <is>
          <t>AI Acquisition Strategy: Rent vs. Own vs. Hybrid TCO Decision Model</t>
        </is>
      </c>
    </row>
    <row r="2"/>
    <row r="3" ht="15" customHeight="1" s="26">
      <c r="A3" s="28" t="inlineStr">
        <is>
          <t>Rent the Frontier  |  Own the Frontier  |  Hybrid Approach</t>
        </is>
      </c>
    </row>
    <row r="4"/>
    <row r="5" ht="15" customHeight="1" s="26">
      <c r="A5" s="29" t="inlineStr">
        <is>
          <t>Purpose</t>
        </is>
      </c>
    </row>
    <row r="6" ht="60" customHeight="1" s="26">
      <c r="A6" s="30" t="inlineStr">
        <is>
          <t>Enterprise-grade total cost of ownership (TCO) and decision framework for technology finance leaders and executives. Determines the economically and strategically preferred path for incorporating AI: pure API rental of frontier models, ownership of AI infrastructure (hardware + open/self-hosted models), or a hybrid split. Developed by Ryan Huff as a practical tool to help organizations make clearer, data-driven decisions about AI infrastructure strategy.</t>
        </is>
      </c>
    </row>
    <row r="7" ht="15" customHeight="1" s="26"/>
    <row r="8" ht="15" customHeight="1" s="26"/>
    <row r="9"/>
    <row r="10" ht="15" customHeight="1" s="26">
      <c r="A10" s="29" t="inlineStr">
        <is>
          <t>How to Use</t>
        </is>
      </c>
    </row>
    <row r="11" ht="19.5" customHeight="1" s="26">
      <c r="A11" s="31" t="inlineStr">
        <is>
          <t>1. Go to the 'Inputs' sheet. Editable inputs are blue font on a yellow fill. Black cells are labels or calculated checks.</t>
        </is>
      </c>
    </row>
    <row r="12" ht="19.5" customHeight="1" s="26">
      <c r="A12" s="31" t="inlineStr">
        <is>
          <t>2. Enter your organization's scale (contributors, salaries), workload mix, demand method and token estimates, cost parameters for each path, and the capacity sizing inputs in section 8.</t>
        </is>
      </c>
    </row>
    <row r="13" ht="19.5" customHeight="1" s="26">
      <c r="A13" s="31" t="inlineStr">
        <is>
          <t>3. Review the 'Dashboard' for the recommendation (lowest present-value TCO over your horizon), nominal and PV TCO, NPV, unit economics, and break-even utilization.</t>
        </is>
      </c>
    </row>
    <row r="14" ht="19.5" customHeight="1" s="26">
      <c r="A14" s="31" t="inlineStr">
        <is>
          <t>4. Use 'Comparison' for the year-by-year view and 'Sensitivity' to see how the answer moves when each key driver is flexed up or down.</t>
        </is>
      </c>
    </row>
    <row r="15" ht="19.5" customHeight="1" s="26">
      <c r="A15" s="31" t="inlineStr">
        <is>
          <t>5. All calculations are live Excel formulas. Change any input and the entire model updates.</t>
        </is>
      </c>
    </row>
    <row r="16" ht="19.5" customHeight="1" s="26">
      <c r="A16" s="31" t="inlineStr">
        <is>
          <t>6. This model is general-purpose. Defaults are illustrative mid-market examples based on 2026 industry ranges. Replace them with your data.</t>
        </is>
      </c>
    </row>
    <row r="17"/>
    <row r="18"/>
    <row r="19" ht="15" customHeight="1" s="26">
      <c r="A19" s="29" t="inlineStr">
        <is>
          <t>Key Decision Outputs</t>
        </is>
      </c>
    </row>
    <row r="20" ht="15" customHeight="1" s="26">
      <c r="A20" s="25" t="inlineStr">
        <is>
          <t>• Recommended path (Rent / Own / Hybrid) with primary rationale</t>
        </is>
      </c>
    </row>
    <row r="21" ht="15" customHeight="1" s="26">
      <c r="A21" s="25" t="inlineStr">
        <is>
          <t>• Nominal and present-value TCO over your analysis horizon, plus 3-year and 5-year totals</t>
        </is>
      </c>
    </row>
    <row r="22" ht="15" customHeight="1" s="26">
      <c r="A22" s="25" t="inlineStr">
        <is>
          <t>• Effective Year 1 cost per million tokens for each path</t>
        </is>
      </c>
    </row>
    <row r="23" ht="15" customHeight="1" s="26">
      <c r="A23" s="25" t="inlineStr">
        <is>
          <t>• Break-even utilization for owned capacity vs. expected and achievable utilization</t>
        </is>
      </c>
    </row>
    <row r="24" ht="15" customHeight="1" s="26">
      <c r="A24" s="25" t="inlineStr">
        <is>
          <t>• Productivity value and NPV of net benefit (optional view)</t>
        </is>
      </c>
    </row>
    <row r="25" ht="15" customHeight="1" s="26">
      <c r="A25" s="25" t="inlineStr">
        <is>
          <t>• Sensitivity of each path to residual value, API pricing, staffing, capacity sizing, volume, and more</t>
        </is>
      </c>
    </row>
    <row r="26"/>
    <row r="27" ht="15" customHeight="1" s="26">
      <c r="A27" s="29" t="inlineStr">
        <is>
          <t>Important Disclaimers</t>
        </is>
      </c>
    </row>
    <row r="28" ht="49.5" customHeight="1" s="26">
      <c r="A28" s="32" t="inlineStr">
        <is>
          <t>This is a decision-support model, not financial advice, a bid, or a guarantee of outcomes. Actual costs vary significantly by workload, utilization, data residency requirements, talent availability, hardware market conditions, and execution quality. Residual values for AI GPUs are highly uncertain and can change rapidly with new generations. Always validate assumptions with current quotes, internal data, and subject-matter experts. Model version: 1.6 (October 2026).</t>
        </is>
      </c>
    </row>
    <row r="29" ht="15" customHeight="1" s="26"/>
    <row r="30" ht="15" customHeight="1" s="26"/>
    <row r="31"/>
    <row r="32" ht="15" customHeight="1" s="26">
      <c r="A32" s="33" t="inlineStr">
        <is>
          <t>Version 1.6  |  Designed by Ryan Huff (https://ryanthomashuff.com)  |  Formula-driven, no macros</t>
        </is>
      </c>
    </row>
    <row r="33"/>
    <row r="34">
      <c r="A34" s="34" t="inlineStr">
        <is>
          <t>About the Developer</t>
        </is>
      </c>
    </row>
    <row r="35" ht="50" customHeight="1" s="26">
      <c r="A35" s="35" t="inlineStr">
        <is>
          <t>This model was designed and built by Ryan Huff. It reflects practical experience with enterprise technology decisions and is offered as a free, general-purpose framework that any organization can adapt. For more of Ryan’s work and thinking on technology, networks, and AI strategy, visit https://ryanthomashuff.com.</t>
        </is>
      </c>
    </row>
    <row r="36"/>
    <row r="37"/>
  </sheetData>
  <mergeCells count="12">
    <mergeCell ref="A12:H12"/>
    <mergeCell ref="A3:H3"/>
    <mergeCell ref="A28:H30"/>
    <mergeCell ref="A15:H15"/>
    <mergeCell ref="A16:H16"/>
    <mergeCell ref="A13:H13"/>
    <mergeCell ref="A11:H11"/>
    <mergeCell ref="A6:H8"/>
    <mergeCell ref="A14:H14"/>
    <mergeCell ref="A1:H1"/>
    <mergeCell ref="A35:H37"/>
    <mergeCell ref="A34:H34"/>
  </mergeCell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2.xml><?xml version="1.0" encoding="utf-8"?>
<worksheet xmlns="http://schemas.openxmlformats.org/spreadsheetml/2006/main">
  <sheetPr filterMode="0">
    <tabColor rgb="FF1F4E79"/>
    <outlinePr summaryBelow="1" summaryRight="1"/>
    <pageSetUpPr fitToPage="1"/>
  </sheetPr>
  <dimension ref="A1:D62"/>
  <sheetViews>
    <sheetView showFormulas="0" showGridLines="1"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75" customWidth="1" style="25" min="1" max="1"/>
    <col width="22" customWidth="1" style="25" min="2" max="2"/>
    <col width="12" customWidth="1" style="25" min="3" max="3"/>
    <col width="20" customWidth="1" style="25" min="4" max="4"/>
  </cols>
  <sheetData>
    <row r="1" ht="24.75" customHeight="1" s="26">
      <c r="A1" s="36" t="inlineStr">
        <is>
          <t>ASSUMPTIONS &amp; INPUTS</t>
        </is>
      </c>
    </row>
    <row r="2" ht="15" customHeight="1" s="26">
      <c r="A2" s="37" t="inlineStr">
        <is>
          <t>Blue font on a yellow fill = editable input. Black cells are labels or calculated checks. Change any input and the entire model recalculates.</t>
        </is>
      </c>
    </row>
    <row r="3"/>
    <row r="4" ht="15" customHeight="1" s="26">
      <c r="A4" s="29" t="inlineStr">
        <is>
          <t>1. SCALE, PEOPLE &amp; PRODUCTIVITY INTENT</t>
        </is>
      </c>
    </row>
    <row r="5" ht="15" customHeight="1" s="26">
      <c r="A5" s="25" t="inlineStr">
        <is>
          <t>Number of individual contributors (ICs) using AI</t>
        </is>
      </c>
      <c r="B5" s="38" t="n">
        <v>50</v>
      </c>
      <c r="C5" s="25" t="inlineStr">
        <is>
          <t>ICs</t>
        </is>
      </c>
    </row>
    <row r="6" ht="15" customHeight="1" s="26">
      <c r="A6" s="25" t="inlineStr">
        <is>
          <t>Average fully-loaded annual cost per IC (salary + benefits + overhead)</t>
        </is>
      </c>
      <c r="B6" s="39" t="n">
        <v>180000</v>
      </c>
      <c r="C6" s="25" t="inlineStr">
        <is>
          <t>$</t>
        </is>
      </c>
    </row>
    <row r="7" ht="15" customHeight="1" s="26">
      <c r="A7" s="25" t="inlineStr">
        <is>
          <t>AI agent multiplier (effective capacity per IC, e.g. 2.5 = 2.5x output)</t>
        </is>
      </c>
      <c r="B7" s="38" t="n">
        <v>2.5</v>
      </c>
      <c r="C7" s="25" t="inlineStr">
        <is>
          <t>x</t>
        </is>
      </c>
    </row>
    <row r="8" ht="15" customHeight="1" s="26">
      <c r="A8" s="25" t="inlineStr">
        <is>
          <t>Productivity capture rate (% of theoretical agent gain actually realized)</t>
        </is>
      </c>
      <c r="B8" s="40" t="n">
        <v>0.4</v>
      </c>
      <c r="C8" s="25" t="inlineStr">
        <is>
          <t>%</t>
        </is>
      </c>
    </row>
    <row r="9" ht="15" customHeight="1" s="26">
      <c r="A9" s="25" t="inlineStr">
        <is>
          <t>Primary intent / use-case focus (description)</t>
        </is>
      </c>
      <c r="B9" s="38" t="inlineStr">
        <is>
          <t>Internal productivity + customer support agents</t>
        </is>
      </c>
      <c r="C9" s="25" t="inlineStr">
        <is>
          <t>text</t>
        </is>
      </c>
    </row>
    <row r="10"/>
    <row r="11" ht="15" customHeight="1" s="26">
      <c r="A11" s="29" t="inlineStr">
        <is>
          <t>2. WORKLOAD MIX &amp; INTENT (drives hybrid recommendation)</t>
        </is>
      </c>
    </row>
    <row r="12" ht="15" customHeight="1" s="26">
      <c r="A12" s="25" t="inlineStr">
        <is>
          <t>% of volume that is frontier-critical (needs latest closed models)</t>
        </is>
      </c>
      <c r="B12" s="40" t="n">
        <v>0.2</v>
      </c>
      <c r="C12" s="25" t="inlineStr">
        <is>
          <t>%</t>
        </is>
      </c>
    </row>
    <row r="13" ht="15" customHeight="1" s="26">
      <c r="A13" s="25" t="inlineStr">
        <is>
          <t>% of volume that is routine / high-volume (suitable for open/self-hosted)</t>
        </is>
      </c>
      <c r="B13" s="40" t="n">
        <v>0.55</v>
      </c>
      <c r="C13" s="25" t="inlineStr">
        <is>
          <t>%</t>
        </is>
      </c>
    </row>
    <row r="14" ht="15" customHeight="1" s="26">
      <c r="A14" s="25" t="inlineStr">
        <is>
          <t>% of volume that is sensitive / regulated (prefers ownership for control)</t>
        </is>
      </c>
      <c r="B14" s="40" t="n">
        <v>0.25</v>
      </c>
      <c r="C14" s="25" t="inlineStr">
        <is>
          <t>%</t>
        </is>
      </c>
    </row>
    <row r="15" ht="15" customHeight="1" s="26">
      <c r="A15" s="25" t="inlineStr">
        <is>
          <t>Check: total should equal 100%</t>
        </is>
      </c>
      <c r="B15" s="41">
        <f>B12+B13+B14</f>
        <v/>
      </c>
      <c r="C15" s="25">
        <f>IF(ABS(B15-1)&gt;0.001,"Mix does not total 100%","OK")</f>
        <v/>
      </c>
    </row>
    <row r="16"/>
    <row r="17" ht="15" customHeight="1" s="26">
      <c r="A17" s="29" t="inlineStr">
        <is>
          <t>3. TOKEN / COMPUTE DEMAND</t>
        </is>
      </c>
    </row>
    <row r="18" ht="15" customHeight="1" s="26">
      <c r="A18" s="25" t="inlineStr">
        <is>
          <t>Method for estimating demand (Agent multiplier derived / Direct monthly estimate)</t>
        </is>
      </c>
      <c r="B18" s="38" t="inlineStr">
        <is>
          <t>Agent multiplier derived</t>
        </is>
      </c>
    </row>
    <row r="19" ht="15" customHeight="1" s="26">
      <c r="A19" s="25" t="inlineStr">
        <is>
          <t>Estimated monthly tokens per IC (used when Method = Direct monthly estimate; 0 falls back to derived)</t>
        </is>
      </c>
      <c r="B19" s="38" t="n">
        <v>0</v>
      </c>
      <c r="C19" s="25" t="inlineStr">
        <is>
          <t>tokens</t>
        </is>
      </c>
    </row>
    <row r="20" ht="15" customHeight="1" s="26">
      <c r="A20" s="25" t="inlineStr">
        <is>
          <t>Average tokens per agent-hour equivalent (for derivation)</t>
        </is>
      </c>
      <c r="B20" s="38" t="n">
        <v>50000</v>
      </c>
      <c r="C20" s="25" t="inlineStr">
        <is>
          <t>tokens</t>
        </is>
      </c>
    </row>
    <row r="21" ht="15" customHeight="1" s="26">
      <c r="A21" s="25" t="inlineStr">
        <is>
          <t>Working hours per IC per month</t>
        </is>
      </c>
      <c r="B21" s="38" t="n">
        <v>160</v>
      </c>
      <c r="C21" s="25" t="inlineStr">
        <is>
          <t>hours</t>
        </is>
      </c>
    </row>
    <row r="22" ht="15" customHeight="1" s="26">
      <c r="A22" s="25" t="inlineStr">
        <is>
          <t>Peak-to-average ratio (owned capacity is sized for peak, so higher = lower utilization)</t>
        </is>
      </c>
      <c r="B22" s="38" t="n">
        <v>2.5</v>
      </c>
      <c r="C22" s="25" t="inlineStr">
        <is>
          <t>x</t>
        </is>
      </c>
    </row>
    <row r="23" ht="15" customHeight="1" s="26">
      <c r="A23" s="25" t="inlineStr">
        <is>
          <t>Annual growth rate in AI usage volume</t>
        </is>
      </c>
      <c r="B23" s="40" t="n">
        <v>0.4</v>
      </c>
      <c r="C23" s="25" t="inlineStr">
        <is>
          <t>%</t>
        </is>
      </c>
    </row>
    <row r="24"/>
    <row r="25" ht="15" customHeight="1" s="26">
      <c r="A25" s="29" t="inlineStr">
        <is>
          <t>4. RENT THE FRONTIER (API) PARAMETERS</t>
        </is>
      </c>
    </row>
    <row r="26" ht="15" customHeight="1" s="26">
      <c r="A26" s="25" t="inlineStr">
        <is>
          <t>Blended API cost per million tokens (input+output weighted)</t>
        </is>
      </c>
      <c r="B26" s="39" t="n">
        <v>8</v>
      </c>
      <c r="C26" s="25" t="inlineStr">
        <is>
          <t>$</t>
        </is>
      </c>
    </row>
    <row r="27" ht="15" customHeight="1" s="26">
      <c r="A27" s="25" t="inlineStr">
        <is>
          <t>Expected annual decline in API prices</t>
        </is>
      </c>
      <c r="B27" s="40" t="n">
        <v>0.25</v>
      </c>
      <c r="C27" s="25" t="inlineStr">
        <is>
          <t>%</t>
        </is>
      </c>
    </row>
    <row r="28" ht="15" customHeight="1" s="26">
      <c r="A28" s="25" t="inlineStr">
        <is>
          <t>Caching / prompt optimization efficiency (reduces effective cost)</t>
        </is>
      </c>
      <c r="B28" s="40" t="n">
        <v>0.3</v>
      </c>
      <c r="C28" s="25" t="inlineStr">
        <is>
          <t>%</t>
        </is>
      </c>
    </row>
    <row r="29" ht="15" customHeight="1" s="26">
      <c r="A29" s="25" t="inlineStr">
        <is>
          <t>Implementation / integration setup cost (one-time)</t>
        </is>
      </c>
      <c r="B29" s="39" t="n">
        <v>75000</v>
      </c>
      <c r="C29" s="25" t="inlineStr">
        <is>
          <t>$</t>
        </is>
      </c>
    </row>
    <row r="30" ht="15" customHeight="1" s="26">
      <c r="A30" s="25" t="inlineStr">
        <is>
          <t>Annual platform / governance / observability cost</t>
        </is>
      </c>
      <c r="B30" s="39" t="n">
        <v>40000</v>
      </c>
      <c r="C30" s="25" t="inlineStr">
        <is>
          <t>$</t>
        </is>
      </c>
    </row>
    <row r="31" ht="15" customHeight="1" s="26">
      <c r="A31" s="25" t="inlineStr">
        <is>
          <t>Ongoing engineering FTE for prompt/ops/optimization</t>
        </is>
      </c>
      <c r="B31" s="38" t="n">
        <v>1</v>
      </c>
      <c r="C31" s="25" t="inlineStr">
        <is>
          <t>FTE</t>
        </is>
      </c>
    </row>
    <row r="32" ht="15" customHeight="1" s="26">
      <c r="A32" s="25" t="inlineStr">
        <is>
          <t>Fully-loaded cost per engineering FTE</t>
        </is>
      </c>
      <c r="B32" s="39" t="n">
        <v>220000</v>
      </c>
      <c r="C32" s="25" t="inlineStr">
        <is>
          <t>$</t>
        </is>
      </c>
    </row>
    <row r="33"/>
    <row r="34" ht="15" customHeight="1" s="26">
      <c r="A34" s="29" t="inlineStr">
        <is>
          <t>5. OWN THE FRONTIER (OWNED INFRASTRUCTURE) PARAMETERS</t>
        </is>
      </c>
    </row>
    <row r="35" ht="15" customHeight="1" s="26">
      <c r="A35" s="25" t="inlineStr">
        <is>
          <t>All-in CapEx per GPU (the GPU plus its share of server, networking and storage)</t>
        </is>
      </c>
      <c r="B35" s="39" t="n">
        <v>50000</v>
      </c>
      <c r="C35" s="25" t="inlineStr">
        <is>
          <t>$/GPU</t>
        </is>
      </c>
    </row>
    <row r="36" ht="15" customHeight="1" s="26">
      <c r="A36" s="25" t="inlineStr">
        <is>
          <t>Useful life / refresh cycle for depreciation (years)</t>
        </is>
      </c>
      <c r="B36" s="38" t="n">
        <v>3</v>
      </c>
      <c r="C36" s="25" t="inlineStr">
        <is>
          <t>years</t>
        </is>
      </c>
    </row>
    <row r="37" ht="15" customHeight="1" s="26">
      <c r="A37" s="25" t="inlineStr">
        <is>
          <t>Expected residual value as % of CapEx at end of life</t>
        </is>
      </c>
      <c r="B37" s="40" t="n">
        <v>0.3</v>
      </c>
      <c r="C37" s="25" t="inlineStr">
        <is>
          <t>%</t>
        </is>
      </c>
    </row>
    <row r="38" ht="15" customHeight="1" s="26">
      <c r="A38" s="25" t="inlineStr">
        <is>
          <t>IT power draw per GPU, including its share of the server (kW)</t>
        </is>
      </c>
      <c r="B38" s="38" t="n">
        <v>1.25</v>
      </c>
      <c r="C38" s="25" t="inlineStr">
        <is>
          <t>kW/GPU</t>
        </is>
      </c>
    </row>
    <row r="39" ht="15" customHeight="1" s="26">
      <c r="A39" s="25" t="inlineStr">
        <is>
          <t>Power Usage Effectiveness (PUE)</t>
        </is>
      </c>
      <c r="B39" s="38" t="n">
        <v>1.25</v>
      </c>
      <c r="C39" s="25" t="inlineStr">
        <is>
          <t>x</t>
        </is>
      </c>
    </row>
    <row r="40" ht="15" customHeight="1" s="26">
      <c r="A40" s="25" t="inlineStr">
        <is>
          <t>Electricity cost ($/kWh)</t>
        </is>
      </c>
      <c r="B40" s="42" t="n">
        <v>0.1</v>
      </c>
      <c r="C40" s="25" t="inlineStr">
        <is>
          <t>$</t>
        </is>
      </c>
    </row>
    <row r="41" ht="15" customHeight="1" s="26">
      <c r="A41" s="25" t="inlineStr">
        <is>
          <t>Colocation / facility cost per kW per month</t>
        </is>
      </c>
      <c r="B41" s="42" t="n">
        <v>150</v>
      </c>
      <c r="C41" s="25" t="inlineStr">
        <is>
          <t>$</t>
        </is>
      </c>
    </row>
    <row r="42" ht="15" customHeight="1" s="26">
      <c r="A42" s="25" t="inlineStr">
        <is>
          <t>Or alternative: annual facility/colo fixed cost</t>
        </is>
      </c>
      <c r="B42" s="39" t="n">
        <v>0</v>
      </c>
      <c r="C42" s="25" t="inlineStr">
        <is>
          <t>$</t>
        </is>
      </c>
    </row>
    <row r="43" ht="15" customHeight="1" s="26">
      <c r="A43" s="25" t="inlineStr">
        <is>
          <t>Annual hardware maintenance (% of CapEx)</t>
        </is>
      </c>
      <c r="B43" s="40" t="n">
        <v>0.12</v>
      </c>
      <c r="C43" s="25" t="inlineStr">
        <is>
          <t>%</t>
        </is>
      </c>
    </row>
    <row r="44" ht="15" customHeight="1" s="26">
      <c r="A44" s="25" t="inlineStr">
        <is>
          <t>Annual software / MLOps platform licenses</t>
        </is>
      </c>
      <c r="B44" s="39" t="n">
        <v>80000</v>
      </c>
      <c r="C44" s="25" t="inlineStr">
        <is>
          <t>$</t>
        </is>
      </c>
    </row>
    <row r="45" ht="15" customHeight="1" s="26">
      <c r="A45" s="25" t="inlineStr">
        <is>
          <t>Engineering / MLOps / platform FTEs required</t>
        </is>
      </c>
      <c r="B45" s="38" t="n">
        <v>4</v>
      </c>
      <c r="C45" s="25" t="inlineStr">
        <is>
          <t>FTE</t>
        </is>
      </c>
    </row>
    <row r="46" ht="15" customHeight="1" s="26">
      <c r="A46" s="25" t="inlineStr">
        <is>
          <t>Fully-loaded cost per engineering FTE (own path)</t>
        </is>
      </c>
      <c r="B46" s="39" t="n">
        <v>250000</v>
      </c>
      <c r="C46" s="25" t="inlineStr">
        <is>
          <t>$</t>
        </is>
      </c>
    </row>
    <row r="47" ht="15" customHeight="1" s="26">
      <c r="A47" s="25" t="inlineStr">
        <is>
          <t>One-time implementation / build / migration cost</t>
        </is>
      </c>
      <c r="B47" s="39" t="n">
        <v>350000</v>
      </c>
      <c r="C47" s="25" t="inlineStr">
        <is>
          <t>$</t>
        </is>
      </c>
    </row>
    <row r="48" ht="15" customHeight="1" s="26">
      <c r="A48" s="25" t="inlineStr">
        <is>
          <t>Redundancy / N+1 overhead factor on capacity (applied on top of peak sizing)</t>
        </is>
      </c>
      <c r="B48" s="38" t="n">
        <v>1.3</v>
      </c>
      <c r="C48" s="25" t="inlineStr">
        <is>
          <t>x</t>
        </is>
      </c>
    </row>
    <row r="49"/>
    <row r="50" ht="15" customHeight="1" s="26">
      <c r="A50" s="29" t="inlineStr">
        <is>
          <t>6. HYBRID APPROACH</t>
        </is>
      </c>
    </row>
    <row r="51" ht="15" customHeight="1" s="26">
      <c r="A51" s="25" t="inlineStr">
        <is>
          <t>Manual override: % of volume on owned infrastructure (leave blank to derive from workload mix)</t>
        </is>
      </c>
      <c r="B51" s="40" t="n"/>
      <c r="C51" s="25" t="inlineStr">
        <is>
          <t>%</t>
        </is>
      </c>
    </row>
    <row r="52" ht="15" customHeight="1" s="26">
      <c r="A52" s="25" t="inlineStr">
        <is>
          <t>Hybrid implementation premium (extra integration cost)</t>
        </is>
      </c>
      <c r="B52" s="39" t="n">
        <v>100000</v>
      </c>
      <c r="C52" s="25" t="inlineStr">
        <is>
          <t>$</t>
        </is>
      </c>
    </row>
    <row r="53">
      <c r="A53" s="25" t="inlineStr">
        <is>
          <t>Owned share used by Hybrid (calculated: override if set, else routine + sensitive share of the mix)</t>
        </is>
      </c>
      <c r="B53" s="41">
        <f>MIN(1,MAX(0,IF(ISNUMBER(B51),B51,IF(B12+B13+B14&gt;0,(B13+B14)/(B12+B13+B14),0))))</f>
        <v/>
      </c>
    </row>
    <row r="54" ht="15" customHeight="1" s="26">
      <c r="A54" s="29" t="inlineStr">
        <is>
          <t>7. FINANCIAL PARAMETERS</t>
        </is>
      </c>
    </row>
    <row r="55" ht="15" customHeight="1" s="26">
      <c r="A55" s="25" t="inlineStr">
        <is>
          <t>Analysis horizon (years, 1 to 5)</t>
        </is>
      </c>
      <c r="B55" s="38" t="n">
        <v>3</v>
      </c>
      <c r="C55" s="25" t="inlineStr">
        <is>
          <t>years</t>
        </is>
      </c>
    </row>
    <row r="56" ht="15" customHeight="1" s="26">
      <c r="A56" s="25" t="inlineStr">
        <is>
          <t>Discount rate (WACC or hurdle rate, used for present value and NPV)</t>
        </is>
      </c>
      <c r="B56" s="40" t="n">
        <v>0.1</v>
      </c>
      <c r="C56" s="25" t="inlineStr">
        <is>
          <t>%</t>
        </is>
      </c>
    </row>
    <row r="57" ht="15" customHeight="1" s="26">
      <c r="A57" s="25" t="inlineStr">
        <is>
          <t>Annual cost inflation (non-API)</t>
        </is>
      </c>
      <c r="B57" s="40" t="n">
        <v>0.03</v>
      </c>
      <c r="C57" s="25" t="inlineStr">
        <is>
          <t>%</t>
        </is>
      </c>
    </row>
    <row r="58" ht="15" customHeight="1" s="26">
      <c r="A58" s="25" t="inlineStr">
        <is>
          <t>Include productivity value in net benefit and NPV view? (Yes / No)</t>
        </is>
      </c>
      <c r="B58" s="38" t="inlineStr">
        <is>
          <t>Yes</t>
        </is>
      </c>
      <c r="C58" s="25" t="inlineStr">
        <is>
          <t>text</t>
        </is>
      </c>
    </row>
    <row r="59"/>
    <row r="60">
      <c r="A60" s="29" t="inlineStr">
        <is>
          <t>8. OWN CAPACITY SIZING &amp; HYBRID STAFFING</t>
        </is>
      </c>
    </row>
    <row r="61">
      <c r="A61" s="25" t="inlineStr">
        <is>
          <t>Sustained throughput per GPU (tokens/sec, blended input + output, at your target model)</t>
        </is>
      </c>
      <c r="B61" s="51" t="n">
        <v>625</v>
      </c>
      <c r="C61" s="25" t="inlineStr">
        <is>
          <t>tokens/sec</t>
        </is>
      </c>
    </row>
    <row r="62">
      <c r="A62" s="25" t="inlineStr">
        <is>
          <t>Engineering / MLOps FTEs needed to run the owned share in Hybrid</t>
        </is>
      </c>
      <c r="B62" s="38" t="n">
        <v>3</v>
      </c>
      <c r="C62" s="25" t="inlineStr">
        <is>
          <t>FTE</t>
        </is>
      </c>
    </row>
  </sheetData>
  <mergeCells count="10">
    <mergeCell ref="A1:D1"/>
    <mergeCell ref="A17:D17"/>
    <mergeCell ref="A34:D34"/>
    <mergeCell ref="A50:D50"/>
    <mergeCell ref="A4:D4"/>
    <mergeCell ref="A54:D54"/>
    <mergeCell ref="A25:D25"/>
    <mergeCell ref="A2:D2"/>
    <mergeCell ref="A11:D11"/>
    <mergeCell ref="A60:D60"/>
  </mergeCells>
  <dataValidations count="3">
    <dataValidation sqref="B18" showDropDown="0" showInputMessage="0" showErrorMessage="0" allowBlank="0" type="list">
      <formula1>"Agent multiplier derived,Direct monthly estimate"</formula1>
    </dataValidation>
    <dataValidation sqref="B58" showDropDown="0" showInputMessage="0" showErrorMessage="0" allowBlank="0" type="list">
      <formula1>"Yes,No"</formula1>
    </dataValidation>
    <dataValidation sqref="B55" showDropDown="0" showInputMessage="0" showErrorMessage="0" allowBlank="0" type="whole" operator="between">
      <formula1>1</formula1>
      <formula2>5</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F119"/>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2" customWidth="1" style="25" min="1" max="1"/>
    <col width="16" customWidth="1" style="25" min="2" max="6"/>
    <col width="16" customWidth="1" style="26" min="3" max="3"/>
    <col width="16" customWidth="1" style="26" min="4" max="4"/>
    <col width="16" customWidth="1" style="26" min="5" max="5"/>
    <col width="16" customWidth="1" style="26" min="6" max="6"/>
  </cols>
  <sheetData>
    <row r="1" ht="15" customHeight="1" s="26">
      <c r="A1" s="36" t="inlineStr">
        <is>
          <t>CALCULATIONS ENGINE (all formulas, do not edit)</t>
        </is>
      </c>
    </row>
    <row r="2">
      <c r="A2" s="37" t="inlineStr">
        <is>
          <t>Years 1 to 5 are always calculated; totals and present values only count years inside the analysis horizon.</t>
        </is>
      </c>
    </row>
    <row r="3" ht="15" customHeight="1" s="26"/>
    <row r="4" ht="15" customHeight="1" s="26">
      <c r="A4" s="29" t="inlineStr">
        <is>
          <t>TIME, HORIZON &amp; DISCOUNTING</t>
        </is>
      </c>
    </row>
    <row r="5" ht="15" customHeight="1" s="26">
      <c r="A5" s="25" t="inlineStr">
        <is>
          <t>Year</t>
        </is>
      </c>
      <c r="B5" s="25" t="n">
        <v>1</v>
      </c>
      <c r="C5" s="25" t="n">
        <v>2</v>
      </c>
      <c r="D5" s="25" t="n">
        <v>3</v>
      </c>
      <c r="E5" s="25" t="n">
        <v>4</v>
      </c>
      <c r="F5" s="25" t="n">
        <v>5</v>
      </c>
    </row>
    <row r="6">
      <c r="A6" s="25" t="inlineStr">
        <is>
          <t>Analysis horizon used (years, 1 to 5)</t>
        </is>
      </c>
      <c r="B6" s="25">
        <f>MIN(5,MAX(1,ROUND(Inputs!$B$55,0)))</f>
        <v/>
      </c>
    </row>
    <row r="7">
      <c r="A7" s="25" t="inlineStr">
        <is>
          <t>Useful life used (whole years)</t>
        </is>
      </c>
      <c r="B7" s="25">
        <f>MAX(1,ROUND(Inputs!$B$36,0))</f>
        <v/>
      </c>
    </row>
    <row r="8" ht="15" customHeight="1" s="26">
      <c r="A8" s="25" t="inlineStr">
        <is>
          <t>Inside analysis horizon? (1 = yes)</t>
        </is>
      </c>
      <c r="B8" s="25">
        <f>IF(1&lt;=$B$6,1,0)</f>
        <v/>
      </c>
      <c r="C8" s="25">
        <f>IF(2&lt;=$B$6,1,0)</f>
        <v/>
      </c>
      <c r="D8" s="25">
        <f>IF(3&lt;=$B$6,1,0)</f>
        <v/>
      </c>
      <c r="E8" s="25">
        <f>IF(4&lt;=$B$6,1,0)</f>
        <v/>
      </c>
      <c r="F8" s="25">
        <f>IF(5&lt;=$B$6,1,0)</f>
        <v/>
      </c>
    </row>
    <row r="9" ht="15" customHeight="1" s="26">
      <c r="A9" s="25" t="inlineStr">
        <is>
          <t>Non-API inflation index</t>
        </is>
      </c>
      <c r="B9" s="52">
        <f>(1+Inputs!$B$57)^(1-1)</f>
        <v/>
      </c>
      <c r="C9" s="52">
        <f>(1+Inputs!$B$57)^(2-1)</f>
        <v/>
      </c>
      <c r="D9" s="52">
        <f>(1+Inputs!$B$57)^(3-1)</f>
        <v/>
      </c>
      <c r="E9" s="52">
        <f>(1+Inputs!$B$57)^(4-1)</f>
        <v/>
      </c>
      <c r="F9" s="52">
        <f>(1+Inputs!$B$57)^(5-1)</f>
        <v/>
      </c>
    </row>
    <row r="10" ht="15" customHeight="1" s="26">
      <c r="A10" s="25" t="inlineStr">
        <is>
          <t>Discount factor, start of year (CapEx, one-time costs)</t>
        </is>
      </c>
      <c r="B10" s="53">
        <f>1/(1+Inputs!$B$56)^(1-1)</f>
        <v/>
      </c>
      <c r="C10" s="53">
        <f>1/(1+Inputs!$B$56)^(2-1)</f>
        <v/>
      </c>
      <c r="D10" s="53">
        <f>1/(1+Inputs!$B$56)^(3-1)</f>
        <v/>
      </c>
      <c r="E10" s="53">
        <f>1/(1+Inputs!$B$56)^(4-1)</f>
        <v/>
      </c>
      <c r="F10" s="53">
        <f>1/(1+Inputs!$B$56)^(5-1)</f>
        <v/>
      </c>
    </row>
    <row r="11" ht="15" customHeight="1" s="26">
      <c r="A11" s="25" t="inlineStr">
        <is>
          <t>Discount factor, end of year (operating costs)</t>
        </is>
      </c>
      <c r="B11" s="53">
        <f>1/(1+Inputs!$B$56)^1</f>
        <v/>
      </c>
      <c r="C11" s="53">
        <f>1/(1+Inputs!$B$56)^2</f>
        <v/>
      </c>
      <c r="D11" s="53">
        <f>1/(1+Inputs!$B$56)^3</f>
        <v/>
      </c>
      <c r="E11" s="53">
        <f>1/(1+Inputs!$B$56)^4</f>
        <v/>
      </c>
      <c r="F11" s="53">
        <f>1/(1+Inputs!$B$56)^5</f>
        <v/>
      </c>
    </row>
    <row r="12" ht="15" customHeight="1" s="26"/>
    <row r="13">
      <c r="A13" s="29" t="inlineStr">
        <is>
          <t>DEMAND &amp; CAPACITY REQUIREMENT</t>
        </is>
      </c>
    </row>
    <row r="14" ht="15" customHeight="1" s="26">
      <c r="A14" s="25" t="inlineStr">
        <is>
          <t>Monthly tokens per IC used</t>
        </is>
      </c>
      <c r="B14" s="43">
        <f>IF(AND(Inputs!$B$18="Direct monthly estimate",Inputs!$B$19&gt;0),Inputs!$B$19,Inputs!$B$7*Inputs!$B$20*Inputs!$B$21)</f>
        <v/>
      </c>
    </row>
    <row r="15" ht="15" customHeight="1" s="26">
      <c r="A15" s="25" t="inlineStr">
        <is>
          <t>Annual tokens</t>
        </is>
      </c>
      <c r="B15" s="43">
        <f>$B$14*Inputs!$B$5*12*(1+Inputs!$B$23)^(1-1)</f>
        <v/>
      </c>
      <c r="C15" s="43">
        <f>$B$14*Inputs!$B$5*12*(1+Inputs!$B$23)^(2-1)</f>
        <v/>
      </c>
      <c r="D15" s="43">
        <f>$B$14*Inputs!$B$5*12*(1+Inputs!$B$23)^(3-1)</f>
        <v/>
      </c>
      <c r="E15" s="43">
        <f>$B$14*Inputs!$B$5*12*(1+Inputs!$B$23)^(4-1)</f>
        <v/>
      </c>
      <c r="F15" s="43">
        <f>$B$14*Inputs!$B$5*12*(1+Inputs!$B$23)^(5-1)</f>
        <v/>
      </c>
    </row>
    <row r="16" ht="15" customHeight="1" s="26">
      <c r="A16" s="25" t="inlineStr">
        <is>
          <t>Peak tokens/sec (average x peak-to-average)</t>
        </is>
      </c>
      <c r="B16" s="43">
        <f>B15/31536000*Inputs!$B$22</f>
        <v/>
      </c>
      <c r="C16" s="43">
        <f>C15/31536000*Inputs!$B$22</f>
        <v/>
      </c>
      <c r="D16" s="43">
        <f>D15/31536000*Inputs!$B$22</f>
        <v/>
      </c>
      <c r="E16" s="43">
        <f>E15/31536000*Inputs!$B$22</f>
        <v/>
      </c>
      <c r="F16" s="43">
        <f>F15/31536000*Inputs!$B$22</f>
        <v/>
      </c>
    </row>
    <row r="17" ht="15" customHeight="1" s="26">
      <c r="A17" s="25" t="inlineStr">
        <is>
          <t>Capacity to provision, tokens/sec (peak x N+1)</t>
        </is>
      </c>
      <c r="B17" s="43">
        <f>B16*Inputs!$B$48</f>
        <v/>
      </c>
      <c r="C17" s="43">
        <f>C16*Inputs!$B$48</f>
        <v/>
      </c>
      <c r="D17" s="43">
        <f>D16*Inputs!$B$48</f>
        <v/>
      </c>
      <c r="E17" s="43">
        <f>E16*Inputs!$B$48</f>
        <v/>
      </c>
      <c r="F17" s="43">
        <f>F16*Inputs!$B$48</f>
        <v/>
      </c>
    </row>
    <row r="18" ht="15" customHeight="1" s="26"/>
    <row r="19" ht="15" customHeight="1" s="26">
      <c r="A19" s="29" t="inlineStr">
        <is>
          <t>RENT THE FRONTIER (API)</t>
        </is>
      </c>
    </row>
    <row r="20">
      <c r="A20" s="25" t="inlineStr">
        <is>
          <t>Effective API $ per M tokens (after caching, price decline)</t>
        </is>
      </c>
      <c r="B20" s="44">
        <f>Inputs!$B$26*(1-Inputs!$B$28)*(1-Inputs!$B$27)^(1-1)</f>
        <v/>
      </c>
      <c r="C20" s="44">
        <f>Inputs!$B$26*(1-Inputs!$B$28)*(1-Inputs!$B$27)^(2-1)</f>
        <v/>
      </c>
      <c r="D20" s="44">
        <f>Inputs!$B$26*(1-Inputs!$B$28)*(1-Inputs!$B$27)^(3-1)</f>
        <v/>
      </c>
      <c r="E20" s="44">
        <f>Inputs!$B$26*(1-Inputs!$B$28)*(1-Inputs!$B$27)^(4-1)</f>
        <v/>
      </c>
      <c r="F20" s="44">
        <f>Inputs!$B$26*(1-Inputs!$B$28)*(1-Inputs!$B$27)^(5-1)</f>
        <v/>
      </c>
    </row>
    <row r="21" ht="15" customHeight="1" s="26">
      <c r="A21" s="25" t="inlineStr">
        <is>
          <t>Token cost</t>
        </is>
      </c>
      <c r="B21" s="45">
        <f>B15/1000000*B20</f>
        <v/>
      </c>
      <c r="C21" s="45">
        <f>C15/1000000*C20</f>
        <v/>
      </c>
      <c r="D21" s="45">
        <f>D15/1000000*D20</f>
        <v/>
      </c>
      <c r="E21" s="45">
        <f>E15/1000000*E20</f>
        <v/>
      </c>
      <c r="F21" s="45">
        <f>F15/1000000*F20</f>
        <v/>
      </c>
    </row>
    <row r="22" ht="15" customHeight="1" s="26">
      <c r="A22" s="25" t="inlineStr">
        <is>
          <t>Engineering + platform / governance</t>
        </is>
      </c>
      <c r="B22" s="45">
        <f>(Inputs!$B$31*Inputs!$B$32+Inputs!$B$30)*B9</f>
        <v/>
      </c>
      <c r="C22" s="45">
        <f>(Inputs!$B$31*Inputs!$B$32+Inputs!$B$30)*C9</f>
        <v/>
      </c>
      <c r="D22" s="45">
        <f>(Inputs!$B$31*Inputs!$B$32+Inputs!$B$30)*D9</f>
        <v/>
      </c>
      <c r="E22" s="45">
        <f>(Inputs!$B$31*Inputs!$B$32+Inputs!$B$30)*E9</f>
        <v/>
      </c>
      <c r="F22" s="45">
        <f>(Inputs!$B$31*Inputs!$B$32+Inputs!$B$30)*F9</f>
        <v/>
      </c>
    </row>
    <row r="23" ht="15" customHeight="1" s="26">
      <c r="A23" s="25" t="inlineStr">
        <is>
          <t>One-time setup</t>
        </is>
      </c>
      <c r="B23" s="45">
        <f>IF(1=1,Inputs!$B$29,0)</f>
        <v/>
      </c>
      <c r="C23" s="45">
        <f>IF(2=1,Inputs!$B$29,0)</f>
        <v/>
      </c>
      <c r="D23" s="45">
        <f>IF(3=1,Inputs!$B$29,0)</f>
        <v/>
      </c>
      <c r="E23" s="45">
        <f>IF(4=1,Inputs!$B$29,0)</f>
        <v/>
      </c>
      <c r="F23" s="45">
        <f>IF(5=1,Inputs!$B$29,0)</f>
        <v/>
      </c>
    </row>
    <row r="24" ht="15" customHeight="1" s="26">
      <c r="A24" s="25" t="inlineStr">
        <is>
          <t>Total annual Rent cost (nominal)</t>
        </is>
      </c>
      <c r="B24" s="45">
        <f>B21+B22+B23</f>
        <v/>
      </c>
      <c r="C24" s="45">
        <f>C21+C22+C23</f>
        <v/>
      </c>
      <c r="D24" s="45">
        <f>D21+D22+D23</f>
        <v/>
      </c>
      <c r="E24" s="45">
        <f>E21+E22+E23</f>
        <v/>
      </c>
      <c r="F24" s="45">
        <f>F21+F22+F23</f>
        <v/>
      </c>
    </row>
    <row r="25" ht="15" customHeight="1" s="26">
      <c r="A25" s="25" t="inlineStr">
        <is>
          <t>Cash at start of year (one-time)</t>
        </is>
      </c>
      <c r="B25" s="45">
        <f>B23</f>
        <v/>
      </c>
      <c r="C25" s="45">
        <f>C23</f>
        <v/>
      </c>
      <c r="D25" s="45">
        <f>D23</f>
        <v/>
      </c>
      <c r="E25" s="45">
        <f>E23</f>
        <v/>
      </c>
      <c r="F25" s="45">
        <f>F23</f>
        <v/>
      </c>
    </row>
    <row r="26" ht="15" customHeight="1" s="26">
      <c r="A26" s="25" t="inlineStr">
        <is>
          <t>Cash at end of year (operating)</t>
        </is>
      </c>
      <c r="B26" s="45">
        <f>B21+B22</f>
        <v/>
      </c>
      <c r="C26" s="45">
        <f>C21+C22</f>
        <v/>
      </c>
      <c r="D26" s="45">
        <f>D21+D22</f>
        <v/>
      </c>
      <c r="E26" s="45">
        <f>E21+E22</f>
        <v/>
      </c>
      <c r="F26" s="45">
        <f>F21+F22</f>
        <v/>
      </c>
    </row>
    <row r="27" ht="15" customHeight="1" s="26">
      <c r="A27" s="25" t="inlineStr">
        <is>
          <t>Rent: net book value of hardware at end of horizon (terminal value)</t>
        </is>
      </c>
      <c r="B27" s="45">
        <f>0</f>
        <v/>
      </c>
    </row>
    <row r="28" ht="15" customHeight="1" s="26">
      <c r="A28" s="25" t="inlineStr">
        <is>
          <t>Rent: nominal TCO over analysis horizon</t>
        </is>
      </c>
      <c r="B28" s="45">
        <f>SUMPRODUCT($B$8:$F$8,$B$24:$F$24)</f>
        <v/>
      </c>
    </row>
    <row r="29">
      <c r="A29" s="25" t="inlineStr">
        <is>
          <t>Rent: 3-year nominal TCO</t>
        </is>
      </c>
      <c r="B29" s="45">
        <f>SUM($B$24:$D$24)</f>
        <v/>
      </c>
    </row>
    <row r="30" ht="15" customHeight="1" s="26">
      <c r="A30" s="25" t="inlineStr">
        <is>
          <t>Rent: 5-year nominal TCO</t>
        </is>
      </c>
      <c r="B30" s="45">
        <f>SUM($B$24:$F$24)</f>
        <v/>
      </c>
    </row>
    <row r="31" ht="15" customHeight="1" s="26">
      <c r="A31" s="25" t="inlineStr">
        <is>
          <t>Rent: present-value TCO over horizon (cash basis)</t>
        </is>
      </c>
      <c r="B31" s="45">
        <f>SUMPRODUCT($B$8:$F$8,$B$25:$F$25,$B$10:$F$10)+SUMPRODUCT($B$8:$F$8,$B$26:$F$26,$B$11:$F$11)-$B$27/(1+Inputs!$B$56)^$B$6</f>
        <v/>
      </c>
    </row>
    <row r="32" ht="15" customHeight="1" s="26"/>
    <row r="33" ht="15" customHeight="1" s="26">
      <c r="A33" s="29" t="inlineStr">
        <is>
          <t>OWN THE FRONTIER (OWNED INFRASTRUCTURE)</t>
        </is>
      </c>
    </row>
    <row r="34" ht="15" customHeight="1" s="26">
      <c r="A34" s="25" t="inlineStr">
        <is>
          <t>GPUs required for peak + N+1 (this year)</t>
        </is>
      </c>
      <c r="B34" s="43">
        <f>IF(B17&gt;0,ROUNDUP(B17/Inputs!$B$61,0),0)</f>
        <v/>
      </c>
      <c r="C34" s="43">
        <f>IF(C17&gt;0,ROUNDUP(C17/Inputs!$B$61,0),0)</f>
        <v/>
      </c>
      <c r="D34" s="43">
        <f>IF(D17&gt;0,ROUNDUP(D17/Inputs!$B$61,0),0)</f>
        <v/>
      </c>
      <c r="E34" s="43">
        <f>IF(E17&gt;0,ROUNDUP(E17/Inputs!$B$61,0),0)</f>
        <v/>
      </c>
      <c r="F34" s="43">
        <f>IF(F17&gt;0,ROUNDUP(F17/Inputs!$B$61,0),0)</f>
        <v/>
      </c>
    </row>
    <row r="35">
      <c r="A35" s="25" t="inlineStr">
        <is>
          <t>GPUs installed (never shrinks)</t>
        </is>
      </c>
      <c r="B35" s="43">
        <f>MAX(B34,0)</f>
        <v/>
      </c>
      <c r="C35" s="43">
        <f>MAX(C34,B35)</f>
        <v/>
      </c>
      <c r="D35" s="43">
        <f>MAX(D34,C35)</f>
        <v/>
      </c>
      <c r="E35" s="43">
        <f>MAX(E34,D35)</f>
        <v/>
      </c>
      <c r="F35" s="43">
        <f>MAX(F34,E35)</f>
        <v/>
      </c>
    </row>
    <row r="36" ht="15" customHeight="1" s="26">
      <c r="A36" s="25" t="inlineStr">
        <is>
          <t>New GPUs purchased for growth</t>
        </is>
      </c>
      <c r="B36" s="43">
        <f>B35-0</f>
        <v/>
      </c>
      <c r="C36" s="43">
        <f>C35-B35</f>
        <v/>
      </c>
      <c r="D36" s="43">
        <f>D35-C35</f>
        <v/>
      </c>
      <c r="E36" s="43">
        <f>E35-D35</f>
        <v/>
      </c>
      <c r="F36" s="43">
        <f>F35-E35</f>
        <v/>
      </c>
    </row>
    <row r="37" ht="15" customHeight="1" s="26">
      <c r="A37" s="25" t="inlineStr">
        <is>
          <t>GPUs replaced at end of useful life</t>
        </is>
      </c>
      <c r="B37" s="43">
        <f>0</f>
        <v/>
      </c>
      <c r="C37" s="43">
        <f>(1+$B$7=2)*B38</f>
        <v/>
      </c>
      <c r="D37" s="43">
        <f>(1+$B$7=3)*B38+(2+$B$7=3)*C38</f>
        <v/>
      </c>
      <c r="E37" s="43">
        <f>(1+$B$7=4)*B38+(2+$B$7=4)*C38+(3+$B$7=4)*D38</f>
        <v/>
      </c>
      <c r="F37" s="43">
        <f>(1+$B$7=5)*B38+(2+$B$7=5)*C38+(3+$B$7=5)*D38+(4+$B$7=5)*E38</f>
        <v/>
      </c>
    </row>
    <row r="38" ht="15" customHeight="1" s="26">
      <c r="A38" s="25" t="inlineStr">
        <is>
          <t>Total GPUs bought (growth + refresh)</t>
        </is>
      </c>
      <c r="B38" s="43">
        <f>B36+B37</f>
        <v/>
      </c>
      <c r="C38" s="43">
        <f>C36+C37</f>
        <v/>
      </c>
      <c r="D38" s="43">
        <f>D36+D37</f>
        <v/>
      </c>
      <c r="E38" s="43">
        <f>E36+E37</f>
        <v/>
      </c>
      <c r="F38" s="43">
        <f>F36+F37</f>
        <v/>
      </c>
    </row>
    <row r="39">
      <c r="A39" s="25" t="inlineStr">
        <is>
          <t>CapEx cash out</t>
        </is>
      </c>
      <c r="B39" s="45">
        <f>B38*Inputs!$B$35</f>
        <v/>
      </c>
      <c r="C39" s="45">
        <f>C38*Inputs!$B$35</f>
        <v/>
      </c>
      <c r="D39" s="45">
        <f>D38*Inputs!$B$35</f>
        <v/>
      </c>
      <c r="E39" s="45">
        <f>E38*Inputs!$B$35</f>
        <v/>
      </c>
      <c r="F39" s="45">
        <f>F38*Inputs!$B$35</f>
        <v/>
      </c>
    </row>
    <row r="40" ht="15" customHeight="1" s="26">
      <c r="A40" s="25" t="inlineStr">
        <is>
          <t>Residual value recovered on retired GPUs</t>
        </is>
      </c>
      <c r="B40" s="45">
        <f>B37*Inputs!$B$35*Inputs!$B$37</f>
        <v/>
      </c>
      <c r="C40" s="45">
        <f>C37*Inputs!$B$35*Inputs!$B$37</f>
        <v/>
      </c>
      <c r="D40" s="45">
        <f>D37*Inputs!$B$35*Inputs!$B$37</f>
        <v/>
      </c>
      <c r="E40" s="45">
        <f>E37*Inputs!$B$35*Inputs!$B$37</f>
        <v/>
      </c>
      <c r="F40" s="45">
        <f>F37*Inputs!$B$35*Inputs!$B$37</f>
        <v/>
      </c>
    </row>
    <row r="41" ht="15" customHeight="1" s="26">
      <c r="A41" s="25" t="inlineStr">
        <is>
          <t>Depreciation (straight-line to residual)</t>
        </is>
      </c>
      <c r="B41" s="45">
        <f>B35*Inputs!$B$35*(1-Inputs!$B$37)/$B$7</f>
        <v/>
      </c>
      <c r="C41" s="45">
        <f>C35*Inputs!$B$35*(1-Inputs!$B$37)/$B$7</f>
        <v/>
      </c>
      <c r="D41" s="45">
        <f>D35*Inputs!$B$35*(1-Inputs!$B$37)/$B$7</f>
        <v/>
      </c>
      <c r="E41" s="45">
        <f>E35*Inputs!$B$35*(1-Inputs!$B$37)/$B$7</f>
        <v/>
      </c>
      <c r="F41" s="45">
        <f>F35*Inputs!$B$35*(1-Inputs!$B$37)/$B$7</f>
        <v/>
      </c>
    </row>
    <row r="42">
      <c r="A42" s="25" t="inlineStr">
        <is>
          <t>Power (IT kW x PUE x rate x 8,760 h)</t>
        </is>
      </c>
      <c r="B42" s="45">
        <f>B35*Inputs!$B$38*Inputs!$B$39*Inputs!$B$40*8760*B9</f>
        <v/>
      </c>
      <c r="C42" s="45">
        <f>C35*Inputs!$B$38*Inputs!$B$39*Inputs!$B$40*8760*C9</f>
        <v/>
      </c>
      <c r="D42" s="45">
        <f>D35*Inputs!$B$38*Inputs!$B$39*Inputs!$B$40*8760*D9</f>
        <v/>
      </c>
      <c r="E42" s="45">
        <f>E35*Inputs!$B$38*Inputs!$B$39*Inputs!$B$40*8760*E9</f>
        <v/>
      </c>
      <c r="F42" s="45">
        <f>F35*Inputs!$B$38*Inputs!$B$39*Inputs!$B$40*8760*F9</f>
        <v/>
      </c>
    </row>
    <row r="43" ht="15" customHeight="1" s="26">
      <c r="A43" s="25" t="inlineStr">
        <is>
          <t>Colo / facility</t>
        </is>
      </c>
      <c r="B43" s="45">
        <f>IF(Inputs!$B$42&gt;0,Inputs!$B$42,B35*Inputs!$B$38*Inputs!$B$41*12)*B9</f>
        <v/>
      </c>
      <c r="C43" s="45">
        <f>IF(Inputs!$B$42&gt;0,Inputs!$B$42,C35*Inputs!$B$38*Inputs!$B$41*12)*C9</f>
        <v/>
      </c>
      <c r="D43" s="45">
        <f>IF(Inputs!$B$42&gt;0,Inputs!$B$42,D35*Inputs!$B$38*Inputs!$B$41*12)*D9</f>
        <v/>
      </c>
      <c r="E43" s="45">
        <f>IF(Inputs!$B$42&gt;0,Inputs!$B$42,E35*Inputs!$B$38*Inputs!$B$41*12)*E9</f>
        <v/>
      </c>
      <c r="F43" s="45">
        <f>IF(Inputs!$B$42&gt;0,Inputs!$B$42,F35*Inputs!$B$38*Inputs!$B$41*12)*F9</f>
        <v/>
      </c>
    </row>
    <row r="44" ht="15" customHeight="1" s="26">
      <c r="A44" s="25" t="inlineStr">
        <is>
          <t>Hardware maintenance</t>
        </is>
      </c>
      <c r="B44" s="45">
        <f>B35*Inputs!$B$35*Inputs!$B$43*B9</f>
        <v/>
      </c>
      <c r="C44" s="45">
        <f>C35*Inputs!$B$35*Inputs!$B$43*C9</f>
        <v/>
      </c>
      <c r="D44" s="45">
        <f>D35*Inputs!$B$35*Inputs!$B$43*D9</f>
        <v/>
      </c>
      <c r="E44" s="45">
        <f>E35*Inputs!$B$35*Inputs!$B$43*E9</f>
        <v/>
      </c>
      <c r="F44" s="45">
        <f>F35*Inputs!$B$35*Inputs!$B$43*F9</f>
        <v/>
      </c>
    </row>
    <row r="45" ht="15" customHeight="1" s="26">
      <c r="A45" s="25" t="inlineStr">
        <is>
          <t>Software / MLOps licenses</t>
        </is>
      </c>
      <c r="B45" s="45">
        <f>Inputs!$B$44*B9</f>
        <v/>
      </c>
      <c r="C45" s="45">
        <f>Inputs!$B$44*C9</f>
        <v/>
      </c>
      <c r="D45" s="45">
        <f>Inputs!$B$44*D9</f>
        <v/>
      </c>
      <c r="E45" s="45">
        <f>Inputs!$B$44*E9</f>
        <v/>
      </c>
      <c r="F45" s="45">
        <f>Inputs!$B$44*F9</f>
        <v/>
      </c>
    </row>
    <row r="46" ht="15" customHeight="1" s="26">
      <c r="A46" s="25" t="inlineStr">
        <is>
          <t>Engineering / MLOps staff</t>
        </is>
      </c>
      <c r="B46" s="45">
        <f>Inputs!$B$45*Inputs!$B$46*B9</f>
        <v/>
      </c>
      <c r="C46" s="45">
        <f>Inputs!$B$45*Inputs!$B$46*C9</f>
        <v/>
      </c>
      <c r="D46" s="45">
        <f>Inputs!$B$45*Inputs!$B$46*D9</f>
        <v/>
      </c>
      <c r="E46" s="45">
        <f>Inputs!$B$45*Inputs!$B$46*E9</f>
        <v/>
      </c>
      <c r="F46" s="45">
        <f>Inputs!$B$45*Inputs!$B$46*F9</f>
        <v/>
      </c>
    </row>
    <row r="47">
      <c r="A47" s="25" t="inlineStr">
        <is>
          <t>One-time build / migration</t>
        </is>
      </c>
      <c r="B47" s="45">
        <f>IF(1=1,Inputs!$B$47,0)</f>
        <v/>
      </c>
      <c r="C47" s="45">
        <f>IF(2=1,Inputs!$B$47,0)</f>
        <v/>
      </c>
      <c r="D47" s="45">
        <f>IF(3=1,Inputs!$B$47,0)</f>
        <v/>
      </c>
      <c r="E47" s="45">
        <f>IF(4=1,Inputs!$B$47,0)</f>
        <v/>
      </c>
      <c r="F47" s="45">
        <f>IF(5=1,Inputs!$B$47,0)</f>
        <v/>
      </c>
    </row>
    <row r="48" ht="15" customHeight="1" s="26">
      <c r="A48" s="25" t="inlineStr">
        <is>
          <t>Total annual Own cost (nominal, depreciation basis)</t>
        </is>
      </c>
      <c r="B48" s="45">
        <f>B41+B42+B43+B44+B45+B46+B47</f>
        <v/>
      </c>
      <c r="C48" s="45">
        <f>C41+C42+C43+C44+C45+C46+C47</f>
        <v/>
      </c>
      <c r="D48" s="45">
        <f>D41+D42+D43+D44+D45+D46+D47</f>
        <v/>
      </c>
      <c r="E48" s="45">
        <f>E41+E42+E43+E44+E45+E46+E47</f>
        <v/>
      </c>
      <c r="F48" s="45">
        <f>F41+F42+F43+F44+F45+F46+F47</f>
        <v/>
      </c>
    </row>
    <row r="49" ht="15" customHeight="1" s="26">
      <c r="A49" s="25" t="inlineStr">
        <is>
          <t>Cash at start of year (CapEx - residual + one-time)</t>
        </is>
      </c>
      <c r="B49" s="45">
        <f>B39-B40+B47</f>
        <v/>
      </c>
      <c r="C49" s="45">
        <f>C39-C40+C47</f>
        <v/>
      </c>
      <c r="D49" s="45">
        <f>D39-D40+D47</f>
        <v/>
      </c>
      <c r="E49" s="45">
        <f>E39-E40+E47</f>
        <v/>
      </c>
      <c r="F49" s="45">
        <f>F39-F40+F47</f>
        <v/>
      </c>
    </row>
    <row r="50">
      <c r="A50" s="25" t="inlineStr">
        <is>
          <t>Cash at end of year (operating)</t>
        </is>
      </c>
      <c r="B50" s="45">
        <f>B42+B43+B44+B45+B46</f>
        <v/>
      </c>
      <c r="C50" s="45">
        <f>C42+C43+C44+C45+C46</f>
        <v/>
      </c>
      <c r="D50" s="45">
        <f>D42+D43+D44+D45+D46</f>
        <v/>
      </c>
      <c r="E50" s="45">
        <f>E42+E43+E44+E45+E46</f>
        <v/>
      </c>
      <c r="F50" s="45">
        <f>F42+F43+F44+F45+F46</f>
        <v/>
      </c>
    </row>
    <row r="51" ht="15" customHeight="1" s="26">
      <c r="A51" s="25" t="inlineStr">
        <is>
          <t>Own: net book value of hardware at end of horizon (terminal value)</t>
        </is>
      </c>
      <c r="B51" s="45">
        <f>((1&lt;=$B$6)*(1&gt;$B$6-$B$7))*B38*Inputs!$B$35*MAX(0,1-(1-Inputs!$B$37)*($B$6-1+1)/$B$7)+((2&lt;=$B$6)*(2&gt;$B$6-$B$7))*C38*Inputs!$B$35*MAX(0,1-(1-Inputs!$B$37)*($B$6-2+1)/$B$7)+((3&lt;=$B$6)*(3&gt;$B$6-$B$7))*D38*Inputs!$B$35*MAX(0,1-(1-Inputs!$B$37)*($B$6-3+1)/$B$7)+((4&lt;=$B$6)*(4&gt;$B$6-$B$7))*E38*Inputs!$B$35*MAX(0,1-(1-Inputs!$B$37)*($B$6-4+1)/$B$7)+((5&lt;=$B$6)*(5&gt;$B$6-$B$7))*F38*Inputs!$B$35*MAX(0,1-(1-Inputs!$B$37)*($B$6-5+1)/$B$7)</f>
        <v/>
      </c>
    </row>
    <row r="52">
      <c r="A52" s="25" t="inlineStr">
        <is>
          <t>Own: nominal TCO over analysis horizon</t>
        </is>
      </c>
      <c r="B52" s="45">
        <f>SUMPRODUCT($B$8:$F$8,$B$48:$F$48)</f>
        <v/>
      </c>
    </row>
    <row r="53" ht="15" customHeight="1" s="26">
      <c r="A53" s="25" t="inlineStr">
        <is>
          <t>Own: 3-year nominal TCO</t>
        </is>
      </c>
      <c r="B53" s="45">
        <f>SUM($B$48:$D$48)</f>
        <v/>
      </c>
    </row>
    <row r="54" ht="15" customHeight="1" s="26">
      <c r="A54" s="25" t="inlineStr">
        <is>
          <t>Own: 5-year nominal TCO</t>
        </is>
      </c>
      <c r="B54" s="45">
        <f>SUM($B$48:$F$48)</f>
        <v/>
      </c>
    </row>
    <row r="55" ht="15" customHeight="1" s="26">
      <c r="A55" s="25" t="inlineStr">
        <is>
          <t>Own: present-value TCO over horizon (cash basis)</t>
        </is>
      </c>
      <c r="B55" s="45">
        <f>SUMPRODUCT($B$8:$F$8,$B$49:$F$49,$B$10:$F$10)+SUMPRODUCT($B$8:$F$8,$B$50:$F$50,$B$11:$F$11)-$B$51/(1+Inputs!$B$56)^$B$6</f>
        <v/>
      </c>
    </row>
    <row r="56" ht="15" customHeight="1" s="26"/>
    <row r="57">
      <c r="A57" s="29" t="inlineStr">
        <is>
          <t>HYBRID (OWNED SHARE + API FOR THE REST)</t>
        </is>
      </c>
    </row>
    <row r="58">
      <c r="A58" s="25" t="inlineStr">
        <is>
          <t>Owned share of volume used</t>
        </is>
      </c>
      <c r="B58" s="46">
        <f>MIN(1,MAX(0,IF(ISNUMBER(Inputs!$B$51),Inputs!$B$51,IF(Inputs!$B$12+Inputs!$B$13+Inputs!$B$14&gt;0,(Inputs!$B$13+Inputs!$B$14)/(Inputs!$B$12+Inputs!$B$13+Inputs!$B$14),0))*1))</f>
        <v/>
      </c>
    </row>
    <row r="59">
      <c r="A59" s="25" t="inlineStr">
        <is>
          <t>Owned side active? (1 = yes)</t>
        </is>
      </c>
      <c r="B59" s="25">
        <f>IF($B$58&gt;0,1,0)</f>
        <v/>
      </c>
    </row>
    <row r="60">
      <c r="A60" s="25" t="inlineStr">
        <is>
          <t>API side active? (1 = yes)</t>
        </is>
      </c>
      <c r="B60" s="25">
        <f>IF($B$58&lt;1,1,0)</f>
        <v/>
      </c>
    </row>
    <row r="61">
      <c r="A61" s="25" t="inlineStr">
        <is>
          <t>GPUs required for peak + N+1 (this year)</t>
        </is>
      </c>
      <c r="B61" s="43">
        <f>IF(B17*$B$58&gt;0,ROUNDUP(B17*$B$58/Inputs!$B$61,0),0)</f>
        <v/>
      </c>
      <c r="C61" s="43">
        <f>IF(C17*$B$58&gt;0,ROUNDUP(C17*$B$58/Inputs!$B$61,0),0)</f>
        <v/>
      </c>
      <c r="D61" s="43">
        <f>IF(D17*$B$58&gt;0,ROUNDUP(D17*$B$58/Inputs!$B$61,0),0)</f>
        <v/>
      </c>
      <c r="E61" s="43">
        <f>IF(E17*$B$58&gt;0,ROUNDUP(E17*$B$58/Inputs!$B$61,0),0)</f>
        <v/>
      </c>
      <c r="F61" s="43">
        <f>IF(F17*$B$58&gt;0,ROUNDUP(F17*$B$58/Inputs!$B$61,0),0)</f>
        <v/>
      </c>
    </row>
    <row r="62">
      <c r="A62" s="25" t="inlineStr">
        <is>
          <t>GPUs installed (never shrinks)</t>
        </is>
      </c>
      <c r="B62" s="43">
        <f>MAX(B61,0)</f>
        <v/>
      </c>
      <c r="C62" s="43">
        <f>MAX(C61,B62)</f>
        <v/>
      </c>
      <c r="D62" s="43">
        <f>MAX(D61,C62)</f>
        <v/>
      </c>
      <c r="E62" s="43">
        <f>MAX(E61,D62)</f>
        <v/>
      </c>
      <c r="F62" s="43">
        <f>MAX(F61,E62)</f>
        <v/>
      </c>
    </row>
    <row r="63">
      <c r="A63" s="25" t="inlineStr">
        <is>
          <t>New GPUs purchased for growth</t>
        </is>
      </c>
      <c r="B63" s="43">
        <f>B62-0</f>
        <v/>
      </c>
      <c r="C63" s="43">
        <f>C62-B62</f>
        <v/>
      </c>
      <c r="D63" s="43">
        <f>D62-C62</f>
        <v/>
      </c>
      <c r="E63" s="43">
        <f>E62-D62</f>
        <v/>
      </c>
      <c r="F63" s="43">
        <f>F62-E62</f>
        <v/>
      </c>
    </row>
    <row r="64">
      <c r="A64" s="25" t="inlineStr">
        <is>
          <t>GPUs replaced at end of useful life</t>
        </is>
      </c>
      <c r="B64" s="43">
        <f>0</f>
        <v/>
      </c>
      <c r="C64" s="43">
        <f>(1+$B$7=2)*B65</f>
        <v/>
      </c>
      <c r="D64" s="43">
        <f>(1+$B$7=3)*B65+(2+$B$7=3)*C65</f>
        <v/>
      </c>
      <c r="E64" s="43">
        <f>(1+$B$7=4)*B65+(2+$B$7=4)*C65+(3+$B$7=4)*D65</f>
        <v/>
      </c>
      <c r="F64" s="43">
        <f>(1+$B$7=5)*B65+(2+$B$7=5)*C65+(3+$B$7=5)*D65+(4+$B$7=5)*E65</f>
        <v/>
      </c>
    </row>
    <row r="65">
      <c r="A65" s="25" t="inlineStr">
        <is>
          <t>Total GPUs bought (growth + refresh)</t>
        </is>
      </c>
      <c r="B65" s="43">
        <f>B63+B64</f>
        <v/>
      </c>
      <c r="C65" s="43">
        <f>C63+C64</f>
        <v/>
      </c>
      <c r="D65" s="43">
        <f>D63+D64</f>
        <v/>
      </c>
      <c r="E65" s="43">
        <f>E63+E64</f>
        <v/>
      </c>
      <c r="F65" s="43">
        <f>F63+F64</f>
        <v/>
      </c>
    </row>
    <row r="66">
      <c r="A66" s="25" t="inlineStr">
        <is>
          <t>CapEx cash out</t>
        </is>
      </c>
      <c r="B66" s="45">
        <f>B65*Inputs!$B$35</f>
        <v/>
      </c>
      <c r="C66" s="45">
        <f>C65*Inputs!$B$35</f>
        <v/>
      </c>
      <c r="D66" s="45">
        <f>D65*Inputs!$B$35</f>
        <v/>
      </c>
      <c r="E66" s="45">
        <f>E65*Inputs!$B$35</f>
        <v/>
      </c>
      <c r="F66" s="45">
        <f>F65*Inputs!$B$35</f>
        <v/>
      </c>
    </row>
    <row r="67">
      <c r="A67" s="25" t="inlineStr">
        <is>
          <t>Residual value recovered on retired GPUs</t>
        </is>
      </c>
      <c r="B67" s="45">
        <f>B64*Inputs!$B$35*Inputs!$B$37</f>
        <v/>
      </c>
      <c r="C67" s="45">
        <f>C64*Inputs!$B$35*Inputs!$B$37</f>
        <v/>
      </c>
      <c r="D67" s="45">
        <f>D64*Inputs!$B$35*Inputs!$B$37</f>
        <v/>
      </c>
      <c r="E67" s="45">
        <f>E64*Inputs!$B$35*Inputs!$B$37</f>
        <v/>
      </c>
      <c r="F67" s="45">
        <f>F64*Inputs!$B$35*Inputs!$B$37</f>
        <v/>
      </c>
    </row>
    <row r="68">
      <c r="A68" s="25" t="inlineStr">
        <is>
          <t>Depreciation (straight-line to residual)</t>
        </is>
      </c>
      <c r="B68" s="45">
        <f>B62*Inputs!$B$35*(1-Inputs!$B$37)/$B$7</f>
        <v/>
      </c>
      <c r="C68" s="45">
        <f>C62*Inputs!$B$35*(1-Inputs!$B$37)/$B$7</f>
        <v/>
      </c>
      <c r="D68" s="45">
        <f>D62*Inputs!$B$35*(1-Inputs!$B$37)/$B$7</f>
        <v/>
      </c>
      <c r="E68" s="45">
        <f>E62*Inputs!$B$35*(1-Inputs!$B$37)/$B$7</f>
        <v/>
      </c>
      <c r="F68" s="45">
        <f>F62*Inputs!$B$35*(1-Inputs!$B$37)/$B$7</f>
        <v/>
      </c>
    </row>
    <row r="69">
      <c r="A69" s="25" t="inlineStr">
        <is>
          <t>Power (IT kW x PUE x rate x 8,760 h)</t>
        </is>
      </c>
      <c r="B69" s="45">
        <f>B62*Inputs!$B$38*Inputs!$B$39*Inputs!$B$40*8760*B9</f>
        <v/>
      </c>
      <c r="C69" s="45">
        <f>C62*Inputs!$B$38*Inputs!$B$39*Inputs!$B$40*8760*C9</f>
        <v/>
      </c>
      <c r="D69" s="45">
        <f>D62*Inputs!$B$38*Inputs!$B$39*Inputs!$B$40*8760*D9</f>
        <v/>
      </c>
      <c r="E69" s="45">
        <f>E62*Inputs!$B$38*Inputs!$B$39*Inputs!$B$40*8760*E9</f>
        <v/>
      </c>
      <c r="F69" s="45">
        <f>F62*Inputs!$B$38*Inputs!$B$39*Inputs!$B$40*8760*F9</f>
        <v/>
      </c>
    </row>
    <row r="70">
      <c r="A70" s="25" t="inlineStr">
        <is>
          <t>Colo / facility</t>
        </is>
      </c>
      <c r="B70" s="45">
        <f>IF(Inputs!$B$42&gt;0,Inputs!$B$42*$B$59,B62*Inputs!$B$38*Inputs!$B$41*12)*B9</f>
        <v/>
      </c>
      <c r="C70" s="45">
        <f>IF(Inputs!$B$42&gt;0,Inputs!$B$42*$B$59,C62*Inputs!$B$38*Inputs!$B$41*12)*C9</f>
        <v/>
      </c>
      <c r="D70" s="45">
        <f>IF(Inputs!$B$42&gt;0,Inputs!$B$42*$B$59,D62*Inputs!$B$38*Inputs!$B$41*12)*D9</f>
        <v/>
      </c>
      <c r="E70" s="45">
        <f>IF(Inputs!$B$42&gt;0,Inputs!$B$42*$B$59,E62*Inputs!$B$38*Inputs!$B$41*12)*E9</f>
        <v/>
      </c>
      <c r="F70" s="45">
        <f>IF(Inputs!$B$42&gt;0,Inputs!$B$42*$B$59,F62*Inputs!$B$38*Inputs!$B$41*12)*F9</f>
        <v/>
      </c>
    </row>
    <row r="71">
      <c r="A71" s="25" t="inlineStr">
        <is>
          <t>Hardware maintenance</t>
        </is>
      </c>
      <c r="B71" s="45">
        <f>B62*Inputs!$B$35*Inputs!$B$43*B9</f>
        <v/>
      </c>
      <c r="C71" s="45">
        <f>C62*Inputs!$B$35*Inputs!$B$43*C9</f>
        <v/>
      </c>
      <c r="D71" s="45">
        <f>D62*Inputs!$B$35*Inputs!$B$43*D9</f>
        <v/>
      </c>
      <c r="E71" s="45">
        <f>E62*Inputs!$B$35*Inputs!$B$43*E9</f>
        <v/>
      </c>
      <c r="F71" s="45">
        <f>F62*Inputs!$B$35*Inputs!$B$43*F9</f>
        <v/>
      </c>
    </row>
    <row r="72">
      <c r="A72" s="25" t="inlineStr">
        <is>
          <t>Software / MLOps licenses</t>
        </is>
      </c>
      <c r="B72" s="45">
        <f>Inputs!$B$44*B9*$B$59</f>
        <v/>
      </c>
      <c r="C72" s="45">
        <f>Inputs!$B$44*C9*$B$59</f>
        <v/>
      </c>
      <c r="D72" s="45">
        <f>Inputs!$B$44*D9*$B$59</f>
        <v/>
      </c>
      <c r="E72" s="45">
        <f>Inputs!$B$44*E9*$B$59</f>
        <v/>
      </c>
      <c r="F72" s="45">
        <f>Inputs!$B$44*F9*$B$59</f>
        <v/>
      </c>
    </row>
    <row r="73">
      <c r="A73" s="25" t="inlineStr">
        <is>
          <t>Engineering / MLOps staff</t>
        </is>
      </c>
      <c r="B73" s="45">
        <f>Inputs!$B$62*Inputs!$B$46*B9*$B$59</f>
        <v/>
      </c>
      <c r="C73" s="45">
        <f>Inputs!$B$62*Inputs!$B$46*C9*$B$59</f>
        <v/>
      </c>
      <c r="D73" s="45">
        <f>Inputs!$B$62*Inputs!$B$46*D9*$B$59</f>
        <v/>
      </c>
      <c r="E73" s="45">
        <f>Inputs!$B$62*Inputs!$B$46*E9*$B$59</f>
        <v/>
      </c>
      <c r="F73" s="45">
        <f>Inputs!$B$62*Inputs!$B$46*F9*$B$59</f>
        <v/>
      </c>
    </row>
    <row r="74">
      <c r="A74" s="25" t="inlineStr">
        <is>
          <t>API token cost for the rented share</t>
        </is>
      </c>
      <c r="B74" s="45">
        <f>B15*(1-$B$58)/1000000*B20</f>
        <v/>
      </c>
      <c r="C74" s="45">
        <f>C15*(1-$B$58)/1000000*C20</f>
        <v/>
      </c>
      <c r="D74" s="45">
        <f>D15*(1-$B$58)/1000000*D20</f>
        <v/>
      </c>
      <c r="E74" s="45">
        <f>E15*(1-$B$58)/1000000*E20</f>
        <v/>
      </c>
      <c r="F74" s="45">
        <f>F15*(1-$B$58)/1000000*F20</f>
        <v/>
      </c>
    </row>
    <row r="75">
      <c r="A75" s="25" t="inlineStr">
        <is>
          <t>API engineering + platform / governance</t>
        </is>
      </c>
      <c r="B75" s="45">
        <f>B22*$B$60</f>
        <v/>
      </c>
      <c r="C75" s="45">
        <f>C22*$B$60</f>
        <v/>
      </c>
      <c r="D75" s="45">
        <f>D22*$B$60</f>
        <v/>
      </c>
      <c r="E75" s="45">
        <f>E22*$B$60</f>
        <v/>
      </c>
      <c r="F75" s="45">
        <f>F22*$B$60</f>
        <v/>
      </c>
    </row>
    <row r="76">
      <c r="A76" s="25" t="inlineStr">
        <is>
          <t>One-time (API setup + owned build + hybrid premium)</t>
        </is>
      </c>
      <c r="B76" s="45">
        <f>IF(1=1,Inputs!$B$29*$B$60+Inputs!$B$47*$B$59+Inputs!$B$52,0)</f>
        <v/>
      </c>
      <c r="C76" s="45">
        <f>IF(2=1,Inputs!$B$29*$B$60+Inputs!$B$47*$B$59+Inputs!$B$52,0)</f>
        <v/>
      </c>
      <c r="D76" s="45">
        <f>IF(3=1,Inputs!$B$29*$B$60+Inputs!$B$47*$B$59+Inputs!$B$52,0)</f>
        <v/>
      </c>
      <c r="E76" s="45">
        <f>IF(4=1,Inputs!$B$29*$B$60+Inputs!$B$47*$B$59+Inputs!$B$52,0)</f>
        <v/>
      </c>
      <c r="F76" s="45">
        <f>IF(5=1,Inputs!$B$29*$B$60+Inputs!$B$47*$B$59+Inputs!$B$52,0)</f>
        <v/>
      </c>
    </row>
    <row r="77">
      <c r="A77" s="25" t="inlineStr">
        <is>
          <t>Total annual Hybrid cost (nominal)</t>
        </is>
      </c>
      <c r="B77" s="45">
        <f>B68+B69+B70+B71+B72+B73+B74+B75+B76</f>
        <v/>
      </c>
      <c r="C77" s="45">
        <f>C68+C69+C70+C71+C72+C73+C74+C75+C76</f>
        <v/>
      </c>
      <c r="D77" s="45">
        <f>D68+D69+D70+D71+D72+D73+D74+D75+D76</f>
        <v/>
      </c>
      <c r="E77" s="45">
        <f>E68+E69+E70+E71+E72+E73+E74+E75+E76</f>
        <v/>
      </c>
      <c r="F77" s="45">
        <f>F68+F69+F70+F71+F72+F73+F74+F75+F76</f>
        <v/>
      </c>
    </row>
    <row r="78">
      <c r="A78" s="25" t="inlineStr">
        <is>
          <t>Cash at start of year (CapEx - residual + one-time)</t>
        </is>
      </c>
      <c r="B78" s="45">
        <f>B66-B67+B76</f>
        <v/>
      </c>
      <c r="C78" s="45">
        <f>C66-C67+C76</f>
        <v/>
      </c>
      <c r="D78" s="45">
        <f>D66-D67+D76</f>
        <v/>
      </c>
      <c r="E78" s="45">
        <f>E66-E67+E76</f>
        <v/>
      </c>
      <c r="F78" s="45">
        <f>F66-F67+F76</f>
        <v/>
      </c>
    </row>
    <row r="79">
      <c r="A79" s="25" t="inlineStr">
        <is>
          <t>Cash at end of year (operating)</t>
        </is>
      </c>
      <c r="B79" s="45">
        <f>B69+B70+B71+B72+B73+B74+B75</f>
        <v/>
      </c>
      <c r="C79" s="45">
        <f>C69+C70+C71+C72+C73+C74+C75</f>
        <v/>
      </c>
      <c r="D79" s="45">
        <f>D69+D70+D71+D72+D73+D74+D75</f>
        <v/>
      </c>
      <c r="E79" s="45">
        <f>E69+E70+E71+E72+E73+E74+E75</f>
        <v/>
      </c>
      <c r="F79" s="45">
        <f>F69+F70+F71+F72+F73+F74+F75</f>
        <v/>
      </c>
    </row>
    <row r="80">
      <c r="A80" s="25" t="inlineStr">
        <is>
          <t>Hybrid: net book value of hardware at end of horizon (terminal value)</t>
        </is>
      </c>
      <c r="B80" s="45">
        <f>((1&lt;=$B$6)*(1&gt;$B$6-$B$7))*B65*Inputs!$B$35*MAX(0,1-(1-Inputs!$B$37)*($B$6-1+1)/$B$7)+((2&lt;=$B$6)*(2&gt;$B$6-$B$7))*C65*Inputs!$B$35*MAX(0,1-(1-Inputs!$B$37)*($B$6-2+1)/$B$7)+((3&lt;=$B$6)*(3&gt;$B$6-$B$7))*D65*Inputs!$B$35*MAX(0,1-(1-Inputs!$B$37)*($B$6-3+1)/$B$7)+((4&lt;=$B$6)*(4&gt;$B$6-$B$7))*E65*Inputs!$B$35*MAX(0,1-(1-Inputs!$B$37)*($B$6-4+1)/$B$7)+((5&lt;=$B$6)*(5&gt;$B$6-$B$7))*F65*Inputs!$B$35*MAX(0,1-(1-Inputs!$B$37)*($B$6-5+1)/$B$7)</f>
        <v/>
      </c>
    </row>
    <row r="81">
      <c r="A81" s="25" t="inlineStr">
        <is>
          <t>Hybrid: nominal TCO over analysis horizon</t>
        </is>
      </c>
      <c r="B81" s="45">
        <f>SUMPRODUCT($B$8:$F$8,$B$77:$F$77)</f>
        <v/>
      </c>
    </row>
    <row r="82">
      <c r="A82" s="25" t="inlineStr">
        <is>
          <t>Hybrid: 3-year nominal TCO</t>
        </is>
      </c>
      <c r="B82" s="45">
        <f>SUM($B$77:$D$77)</f>
        <v/>
      </c>
    </row>
    <row r="83">
      <c r="A83" s="25" t="inlineStr">
        <is>
          <t>Hybrid: 5-year nominal TCO</t>
        </is>
      </c>
      <c r="B83" s="45">
        <f>SUM($B$77:$F$77)</f>
        <v/>
      </c>
    </row>
    <row r="84">
      <c r="A84" s="25" t="inlineStr">
        <is>
          <t>Hybrid: present-value TCO over horizon (cash basis)</t>
        </is>
      </c>
      <c r="B84" s="45">
        <f>SUMPRODUCT($B$8:$F$8,$B$78:$F$78,$B$10:$F$10)+SUMPRODUCT($B$8:$F$8,$B$79:$F$79,$B$11:$F$11)-$B$80/(1+Inputs!$B$56)^$B$6</f>
        <v/>
      </c>
    </row>
    <row r="85"/>
    <row r="86">
      <c r="A86" s="29" t="inlineStr">
        <is>
          <t>UNIT ECONOMICS &amp; UTILIZATION (YEAR 1)</t>
        </is>
      </c>
    </row>
    <row r="87">
      <c r="A87" s="25" t="inlineStr">
        <is>
          <t>Year 1 tokens (millions)</t>
        </is>
      </c>
      <c r="B87" s="43">
        <f>B15/1000000</f>
        <v/>
      </c>
    </row>
    <row r="88">
      <c r="A88" s="25" t="inlineStr">
        <is>
          <t>Rent: Year 1 cost per M tokens</t>
        </is>
      </c>
      <c r="B88" s="44">
        <f>IF($B$87&gt;0,B24/$B$87,0)</f>
        <v/>
      </c>
    </row>
    <row r="89">
      <c r="A89" s="25" t="inlineStr">
        <is>
          <t>Own: Year 1 cost per M tokens</t>
        </is>
      </c>
      <c r="B89" s="44">
        <f>IF($B$87&gt;0,B48/$B$87,0)</f>
        <v/>
      </c>
    </row>
    <row r="90">
      <c r="A90" s="25" t="inlineStr">
        <is>
          <t>Hybrid: Year 1 cost per M tokens</t>
        </is>
      </c>
      <c r="B90" s="44">
        <f>IF($B$87&gt;0,B77/$B$87,0)</f>
        <v/>
      </c>
    </row>
    <row r="91">
      <c r="A91" s="25" t="inlineStr">
        <is>
          <t>Annual capacity of one GPU at 100% (M tokens)</t>
        </is>
      </c>
      <c r="B91" s="43">
        <f>Inputs!$B$61*31536000/1000000</f>
        <v/>
      </c>
    </row>
    <row r="92">
      <c r="A92" s="25" t="inlineStr">
        <is>
          <t>Own: installed capacity Year 1 (M tokens/yr)</t>
        </is>
      </c>
      <c r="B92" s="43">
        <f>B35*$B$91</f>
        <v/>
      </c>
    </row>
    <row r="93">
      <c r="A93" s="25" t="inlineStr">
        <is>
          <t>Own: Year 1 recurring cost (excl. one-time)</t>
        </is>
      </c>
      <c r="B93" s="45">
        <f>B41+B42+B43+B44+B45+B46</f>
        <v/>
      </c>
    </row>
    <row r="94">
      <c r="A94" s="25" t="inlineStr">
        <is>
          <t>Own: break-even utilization vs Rent</t>
        </is>
      </c>
      <c r="B94" s="46">
        <f>IF($B$92*B20&gt;0,MAX(0,($B$93-B22)/($B$92*B20)),0)</f>
        <v/>
      </c>
    </row>
    <row r="95">
      <c r="A95" s="25" t="inlineStr">
        <is>
          <t>Own: expected average utilization Year 1</t>
        </is>
      </c>
      <c r="B95" s="46">
        <f>IF($B$92&gt;0,$B$87/$B$92,0)</f>
        <v/>
      </c>
    </row>
    <row r="96">
      <c r="A96" s="25" t="inlineStr">
        <is>
          <t>Highest average utilization possible when sized for peak + N+1</t>
        </is>
      </c>
      <c r="B96" s="46">
        <f>1/(Inputs!$B$22*Inputs!$B$48)</f>
        <v/>
      </c>
    </row>
    <row r="97">
      <c r="A97" s="25" t="inlineStr">
        <is>
          <t>Hybrid: owned capacity Year 1 (M tokens/yr)</t>
        </is>
      </c>
      <c r="B97" s="43">
        <f>B62*$B$91</f>
        <v/>
      </c>
    </row>
    <row r="98">
      <c r="A98" s="25" t="inlineStr">
        <is>
          <t>Hybrid: owned-side Year 1 recurring cost</t>
        </is>
      </c>
      <c r="B98" s="45">
        <f>B68+B69+B70+B71+B72+B73</f>
        <v/>
      </c>
    </row>
    <row r="99">
      <c r="A99" s="25" t="inlineStr">
        <is>
          <t>Hybrid: break-even utilization of owned share vs API</t>
        </is>
      </c>
      <c r="B99" s="46">
        <f>IF($B$97*B20&gt;0,$B$98/($B$97*B20),0)</f>
        <v/>
      </c>
    </row>
    <row r="100">
      <c r="A100" s="25" t="inlineStr">
        <is>
          <t>Hybrid: expected average utilization of owned share Year 1</t>
        </is>
      </c>
      <c r="B100" s="46">
        <f>IF($B$97&gt;0,$B$87*$B$58/$B$97,0)</f>
        <v/>
      </c>
    </row>
    <row r="101">
      <c r="A101" s="25" t="inlineStr">
        <is>
          <t>Own: annual hardware cost per GPU, Year 1 (depreciation, power, colo, maintenance)</t>
        </is>
      </c>
      <c r="B101" s="45">
        <f>Inputs!$B$35*(1-Inputs!$B$37)/$B$7+Inputs!$B$38*Inputs!$B$39*Inputs!$B$40*8760+IF(Inputs!$B$42&gt;0,0,Inputs!$B$38*Inputs!$B$41*12)+Inputs!$B$35*Inputs!$B$43</f>
        <v/>
      </c>
    </row>
    <row r="102">
      <c r="A102" s="25" t="inlineStr">
        <is>
          <t>Own: hardware-only break-even utilization (per-GPU cost = API price, before staff and licenses)</t>
        </is>
      </c>
      <c r="B102" s="46">
        <f>IF($B$91*B20&gt;0,$B$101/($B$91*B20),0)</f>
        <v/>
      </c>
    </row>
    <row r="103">
      <c r="A103" s="25" t="inlineStr">
        <is>
          <t>Own: hardware cost per M tokens at highest achievable utilization</t>
        </is>
      </c>
      <c r="B103" s="44">
        <f>IF($B$91*$B$96&gt;0,$B$101/($B$91*$B$96),0)</f>
        <v/>
      </c>
    </row>
    <row r="104">
      <c r="A104" s="25" t="inlineStr">
        <is>
          <t>Own: fixed costs not shared with Rent (licenses + staff + fixed colo - API platform/team)</t>
        </is>
      </c>
      <c r="B104" s="45">
        <f>Inputs!$B$44+Inputs!$B$45*Inputs!$B$46+IF(Inputs!$B$42&gt;0,Inputs!$B$42,0)-B22</f>
        <v/>
      </c>
    </row>
    <row r="105">
      <c r="A105" s="25" t="inlineStr">
        <is>
          <t>Own: break-even annual volume vs Rent (tokens/yr)</t>
        </is>
      </c>
      <c r="B105" s="43">
        <f>IF(B20&gt;$B$103,MAX(0,$B$104)/(B20-$B$103)*1000000,"Not reachable")</f>
        <v/>
      </c>
    </row>
    <row r="106">
      <c r="A106" s="25" t="inlineStr">
        <is>
          <t>Own: break-even volume as a multiple of Year 1 volume</t>
        </is>
      </c>
      <c r="B106" s="47">
        <f>IF(AND(ISNUMBER($B$105),B15&gt;0),$B$105/B15,"n/a")</f>
        <v/>
      </c>
    </row>
    <row r="107"/>
    <row r="108">
      <c r="A108" s="29" t="inlineStr">
        <is>
          <t>PRODUCTIVITY VALUE &amp; NPV (optional)</t>
        </is>
      </c>
    </row>
    <row r="109">
      <c r="A109" s="25" t="inlineStr">
        <is>
          <t>Additional capacity (FTE-equivalent)</t>
        </is>
      </c>
      <c r="B109" s="47">
        <f>Inputs!$B$5*MAX(0,Inputs!$B$7-1)*Inputs!$B$8</f>
        <v/>
      </c>
    </row>
    <row r="110">
      <c r="A110" s="25" t="inlineStr">
        <is>
          <t>Annual productivity value</t>
        </is>
      </c>
      <c r="B110" s="45">
        <f>$B$109*Inputs!$B$6</f>
        <v/>
      </c>
    </row>
    <row r="111">
      <c r="A111" s="25" t="inlineStr">
        <is>
          <t>Present value of productivity over horizon</t>
        </is>
      </c>
      <c r="B111" s="45">
        <f>$B$110*SUMPRODUCT($B$8:$F$8,$B$11:$F$11)</f>
        <v/>
      </c>
    </row>
    <row r="112">
      <c r="A112" s="25" t="inlineStr">
        <is>
          <t>NPV of net benefit: Rent (PV value - PV TCO)</t>
        </is>
      </c>
      <c r="B112" s="45">
        <f>IF(Inputs!$B$58="Yes",$B$111-$B$31,0)</f>
        <v/>
      </c>
    </row>
    <row r="113">
      <c r="A113" s="25" t="inlineStr">
        <is>
          <t>NPV of net benefit: Own (PV value - PV TCO)</t>
        </is>
      </c>
      <c r="B113" s="45">
        <f>IF(Inputs!$B$58="Yes",$B$111-$B$55,0)</f>
        <v/>
      </c>
    </row>
    <row r="114">
      <c r="A114" s="25" t="inlineStr">
        <is>
          <t>NPV of net benefit: Hybrid (PV value - PV TCO)</t>
        </is>
      </c>
      <c r="B114" s="45">
        <f>IF(Inputs!$B$58="Yes",$B$111-$B$84,0)</f>
        <v/>
      </c>
    </row>
    <row r="115">
      <c r="A115" s="25" t="inlineStr">
        <is>
          <t>Net Year 1 benefit (value - Rent Year 1 cost)</t>
        </is>
      </c>
      <c r="B115" s="45">
        <f>IF(Inputs!$B$58="Yes",$B$110-B24,0)</f>
        <v/>
      </c>
    </row>
    <row r="116"/>
    <row r="117">
      <c r="A117" s="29" t="inlineStr">
        <is>
          <t>DECISION</t>
        </is>
      </c>
    </row>
    <row r="118">
      <c r="A118" s="25" t="inlineStr">
        <is>
          <t>Lowest present-value TCO path</t>
        </is>
      </c>
      <c r="B118" s="25">
        <f>IF(AND($B$31&lt;=$B$55,$B$31&lt;=$B$84),"Rent the Frontier",IF($B$55&lt;=$B$84,"Own the Frontier","Hybrid"))</f>
        <v/>
      </c>
    </row>
    <row r="119">
      <c r="A119" s="25" t="inlineStr">
        <is>
          <t>Lowest nominal TCO path (horizon)</t>
        </is>
      </c>
      <c r="B119" s="25">
        <f>IF(AND($B$28&lt;=$B$52,$B$28&lt;=$B$81),"Rent the Frontier",IF($B$52&lt;=$B$81,"Own the Frontier","Hybrid"))</f>
        <v/>
      </c>
    </row>
  </sheetData>
  <mergeCells count="2">
    <mergeCell ref="A2:F2"/>
    <mergeCell ref="A1:F1"/>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L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2" customWidth="1" style="25" min="1" max="1"/>
    <col width="16" customWidth="1" style="25" min="2" max="6"/>
    <col width="16" customWidth="1" style="26" min="3" max="3"/>
    <col width="16" customWidth="1" style="26" min="4" max="4"/>
    <col width="16" customWidth="1" style="26" min="5" max="5"/>
    <col width="16" customWidth="1" style="26" min="6" max="6"/>
    <col width="22" customWidth="1" style="25" min="7" max="7"/>
    <col width="16" customWidth="1" style="26" min="8" max="8"/>
    <col width="16" customWidth="1" style="26" min="9" max="9"/>
    <col width="16" customWidth="1" style="26" min="10" max="10"/>
    <col width="16" customWidth="1" style="26" min="11" max="11"/>
    <col width="20" customWidth="1" style="26" min="12" max="12"/>
  </cols>
  <sheetData>
    <row r="1" ht="15" customHeight="1" s="26">
      <c r="A1" s="36" t="inlineStr">
        <is>
          <t>MULTI-YEAR COMPARISON</t>
        </is>
      </c>
    </row>
    <row r="2">
      <c r="A2" s="37">
        <f>" Analysis horizon: "&amp;Calculations!$B$6&amp;" years. Years beyond the horizon are shown for reference. PV = present value at the discount rate (cash basis: CapEx when bought, residual and end-of-horizon book value credited)."</f>
        <v/>
      </c>
    </row>
    <row r="3" ht="15" customHeight="1" s="26">
      <c r="A3" s="48" t="inlineStr">
        <is>
          <t>Path</t>
        </is>
      </c>
      <c r="B3" s="48" t="inlineStr">
        <is>
          <t>Year 1</t>
        </is>
      </c>
      <c r="C3" s="48" t="inlineStr">
        <is>
          <t>Year 2</t>
        </is>
      </c>
      <c r="D3" s="48" t="inlineStr">
        <is>
          <t>Year 3</t>
        </is>
      </c>
      <c r="E3" s="48" t="inlineStr">
        <is>
          <t>Year 4</t>
        </is>
      </c>
      <c r="F3" s="48" t="inlineStr">
        <is>
          <t>Year 5</t>
        </is>
      </c>
      <c r="G3" s="48" t="inlineStr">
        <is>
          <t>Horizon Total (nominal)</t>
        </is>
      </c>
      <c r="H3" s="48" t="inlineStr">
        <is>
          <t>3-Year Total</t>
        </is>
      </c>
      <c r="I3" s="48" t="inlineStr">
        <is>
          <t>5-Year Total</t>
        </is>
      </c>
      <c r="J3" s="48" t="inlineStr">
        <is>
          <t>PV TCO (horizon)</t>
        </is>
      </c>
      <c r="K3" s="48" t="inlineStr">
        <is>
          <t>NPV of Net Benefit</t>
        </is>
      </c>
      <c r="L3" s="48" t="inlineStr">
        <is>
          <t>Cost / M Tokens (Y1)</t>
        </is>
      </c>
    </row>
    <row r="4" ht="15" customHeight="1" s="26">
      <c r="A4" s="25" t="inlineStr">
        <is>
          <t>Rent the Frontier</t>
        </is>
      </c>
      <c r="B4" s="45">
        <f>Calculations!B24</f>
        <v/>
      </c>
      <c r="C4" s="45">
        <f>Calculations!C24</f>
        <v/>
      </c>
      <c r="D4" s="45">
        <f>Calculations!D24</f>
        <v/>
      </c>
      <c r="E4" s="45">
        <f>Calculations!E24</f>
        <v/>
      </c>
      <c r="F4" s="45">
        <f>Calculations!F24</f>
        <v/>
      </c>
      <c r="G4" s="45">
        <f>Calculations!$B$28</f>
        <v/>
      </c>
      <c r="H4" s="45">
        <f>Calculations!$B$29</f>
        <v/>
      </c>
      <c r="I4" s="45">
        <f>Calculations!$B$30</f>
        <v/>
      </c>
      <c r="J4" s="45">
        <f>Calculations!$B$31</f>
        <v/>
      </c>
      <c r="K4" s="45">
        <f>Calculations!$B$112</f>
        <v/>
      </c>
      <c r="L4" s="44">
        <f>Calculations!$B$88</f>
        <v/>
      </c>
    </row>
    <row r="5" ht="15" customHeight="1" s="26">
      <c r="A5" s="25" t="inlineStr">
        <is>
          <t>Own the Frontier</t>
        </is>
      </c>
      <c r="B5" s="45">
        <f>Calculations!B48</f>
        <v/>
      </c>
      <c r="C5" s="45">
        <f>Calculations!C48</f>
        <v/>
      </c>
      <c r="D5" s="45">
        <f>Calculations!D48</f>
        <v/>
      </c>
      <c r="E5" s="45">
        <f>Calculations!E48</f>
        <v/>
      </c>
      <c r="F5" s="45">
        <f>Calculations!F48</f>
        <v/>
      </c>
      <c r="G5" s="45">
        <f>Calculations!$B$52</f>
        <v/>
      </c>
      <c r="H5" s="45">
        <f>Calculations!$B$53</f>
        <v/>
      </c>
      <c r="I5" s="45">
        <f>Calculations!$B$54</f>
        <v/>
      </c>
      <c r="J5" s="45">
        <f>Calculations!$B$55</f>
        <v/>
      </c>
      <c r="K5" s="45">
        <f>Calculations!$B$113</f>
        <v/>
      </c>
      <c r="L5" s="44">
        <f>Calculations!$B$89</f>
        <v/>
      </c>
    </row>
    <row r="6" ht="15" customHeight="1" s="26">
      <c r="A6" s="25" t="inlineStr">
        <is>
          <t>Hybrid</t>
        </is>
      </c>
      <c r="B6" s="45">
        <f>Calculations!B77</f>
        <v/>
      </c>
      <c r="C6" s="45">
        <f>Calculations!C77</f>
        <v/>
      </c>
      <c r="D6" s="45">
        <f>Calculations!D77</f>
        <v/>
      </c>
      <c r="E6" s="45">
        <f>Calculations!E77</f>
        <v/>
      </c>
      <c r="F6" s="45">
        <f>Calculations!F77</f>
        <v/>
      </c>
      <c r="G6" s="45">
        <f>Calculations!$B$81</f>
        <v/>
      </c>
      <c r="H6" s="45">
        <f>Calculations!$B$82</f>
        <v/>
      </c>
      <c r="I6" s="45">
        <f>Calculations!$B$83</f>
        <v/>
      </c>
      <c r="J6" s="45">
        <f>Calculations!$B$84</f>
        <v/>
      </c>
      <c r="K6" s="45">
        <f>Calculations!$B$114</f>
        <v/>
      </c>
      <c r="L6" s="44">
        <f>Calculations!$B$90</f>
        <v/>
      </c>
    </row>
    <row r="7">
      <c r="K7" s="25">
        <f>IF(Inputs!$B$58="Yes","","Productivity view is off (Inputs B58)")</f>
        <v/>
      </c>
    </row>
    <row r="8" ht="15" customHeight="1" s="26">
      <c r="A8" s="25" t="inlineStr">
        <is>
          <t>Lowest-cost path (PV TCO, horizon)</t>
        </is>
      </c>
      <c r="B8" s="49">
        <f>Calculations!$B$118</f>
        <v/>
      </c>
    </row>
    <row r="9">
      <c r="A9" s="25" t="inlineStr">
        <is>
          <t>Lowest-cost path (nominal, horizon)</t>
        </is>
      </c>
      <c r="B9" s="49">
        <f>Calculations!$B$119</f>
        <v/>
      </c>
    </row>
    <row r="10" ht="15" customHeight="1" s="26"/>
    <row r="11">
      <c r="A11" s="29" t="inlineStr">
        <is>
          <t>UTILIZATION (YEAR 1)</t>
        </is>
      </c>
    </row>
    <row r="12">
      <c r="A12" s="25" t="inlineStr">
        <is>
          <t>Own: break-even utilization vs Rent (fully loaded, at installed capacity)</t>
        </is>
      </c>
      <c r="B12" s="46">
        <f>Calculations!$B$94</f>
        <v/>
      </c>
      <c r="C12" s="25">
        <f>IF(Calculations!$B$94&gt;1,"Above 100%: owned hardware cannot beat the API at this volume, even running flat out.",IF(Calculations!$B$94&gt;0.7,"Above the ~65-70% that is realistic to sustain, so ownership is hard to justify.",IF(Calculations!$B$95&gt;=Calculations!$B$94,"Expected utilization clears break-even.","Below 65-70%, but expected utilization does not reach it yet.")))</f>
        <v/>
      </c>
    </row>
    <row r="13">
      <c r="A13" s="25" t="inlineStr">
        <is>
          <t>Own: expected average utilization</t>
        </is>
      </c>
      <c r="B13" s="46">
        <f>Calculations!$B$95</f>
        <v/>
      </c>
    </row>
    <row r="14">
      <c r="A14" s="25" t="inlineStr">
        <is>
          <t>Highest achievable average utilization (1 / (peak-to-average x N+1))</t>
        </is>
      </c>
      <c r="B14" s="46">
        <f>Calculations!$B$96</f>
        <v/>
      </c>
    </row>
    <row r="15">
      <c r="A15" s="25" t="inlineStr">
        <is>
          <t>Hybrid: break-even utilization of owned share</t>
        </is>
      </c>
      <c r="B15" s="46">
        <f>Calculations!$B$99</f>
        <v/>
      </c>
    </row>
    <row r="16">
      <c r="A16" s="25" t="inlineStr">
        <is>
          <t>Hybrid: expected utilization of owned share</t>
        </is>
      </c>
      <c r="B16" s="46">
        <f>Calculations!$B$100</f>
        <v/>
      </c>
    </row>
    <row r="17">
      <c r="A17" s="25" t="inlineStr">
        <is>
          <t>Own: hardware-only break-even utilization (before staff and licenses)</t>
        </is>
      </c>
      <c r="B17" s="46">
        <f>Calculations!$B$102</f>
        <v/>
      </c>
      <c r="C17" s="25" t="inlineStr">
        <is>
          <t>Hardware-only view: if this is above the highest achievable utilization, owned GPUs lose to the API even before staff costs.</t>
        </is>
      </c>
    </row>
    <row r="18">
      <c r="A18" s="25" t="inlineStr">
        <is>
          <t>Own: break-even annual volume vs Rent (tokens/yr)</t>
        </is>
      </c>
      <c r="B18" s="43">
        <f>Calculations!$B$105</f>
        <v/>
      </c>
      <c r="C18" s="25" t="inlineStr">
        <is>
          <t>Below this volume, the fixed team and license costs of owning outweigh the per-token savings.</t>
        </is>
      </c>
    </row>
    <row r="19">
      <c r="A19" s="25" t="inlineStr">
        <is>
          <t>Own: break-even volume as a multiple of Year 1 volume</t>
        </is>
      </c>
      <c r="B19" s="54">
        <f>Calculations!$B$106</f>
        <v/>
      </c>
    </row>
    <row r="20"/>
    <row r="21">
      <c r="A21" s="29" t="inlineStr">
        <is>
          <t>CAPACITY SIZING</t>
        </is>
      </c>
    </row>
    <row r="22">
      <c r="A22" s="25" t="inlineStr">
        <is>
          <t>Own: GPUs installed, Year 1</t>
        </is>
      </c>
      <c r="B22" s="43">
        <f>Calculations!B35</f>
        <v/>
      </c>
    </row>
    <row r="23">
      <c r="A23" s="25" t="inlineStr">
        <is>
          <t>Own: GPUs installed, Year 5</t>
        </is>
      </c>
      <c r="B23" s="43">
        <f>Calculations!F35</f>
        <v/>
      </c>
    </row>
    <row r="24">
      <c r="A24" s="25" t="inlineStr">
        <is>
          <t>Own: Year 1 CapEx</t>
        </is>
      </c>
      <c r="B24" s="45">
        <f>Calculations!B39</f>
        <v/>
      </c>
    </row>
    <row r="25">
      <c r="A25" s="25" t="inlineStr">
        <is>
          <t>Hybrid: owned share of volume</t>
        </is>
      </c>
      <c r="B25" s="46">
        <f>Calculations!$B$58</f>
        <v/>
      </c>
    </row>
    <row r="26">
      <c r="A26" s="25" t="inlineStr">
        <is>
          <t>Hybrid: GPUs installed, Year 1</t>
        </is>
      </c>
      <c r="B26" s="43">
        <f>Calculations!B62</f>
        <v/>
      </c>
    </row>
    <row r="27">
      <c r="A27" s="25" t="inlineStr">
        <is>
          <t>Hybrid: Year 1 CapEx</t>
        </is>
      </c>
      <c r="B27" s="45">
        <f>Calculations!B66</f>
        <v/>
      </c>
    </row>
  </sheetData>
  <mergeCells count="2">
    <mergeCell ref="A2:L2"/>
    <mergeCell ref="A1:L1"/>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F39"/>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8" customWidth="1" style="25" min="1" max="1"/>
    <col width="22" customWidth="1" style="25" min="2" max="2"/>
  </cols>
  <sheetData>
    <row r="1" ht="15" customHeight="1" s="26">
      <c r="A1" s="36" t="inlineStr">
        <is>
          <t>EXECUTIVE DECISION DASHBOARD</t>
        </is>
      </c>
    </row>
    <row r="2"/>
    <row r="3" ht="15" customHeight="1" s="26">
      <c r="A3" s="29" t="inlineStr">
        <is>
          <t>RECOMMENDED PATH</t>
        </is>
      </c>
      <c r="B3" s="50">
        <f>Comparison!B8</f>
        <v/>
      </c>
    </row>
    <row r="4">
      <c r="A4" s="37">
        <f>"Basis: lowest present-value TCO over a "&amp;Calculations!$B$6&amp;"-year horizon at a "&amp;TEXT(Inputs!$B$56,"0.0%")&amp;" discount rate."</f>
        <v/>
      </c>
    </row>
    <row r="5" ht="15" customHeight="1" s="26">
      <c r="A5" s="25" t="inlineStr">
        <is>
          <t>Primary Rationale</t>
        </is>
      </c>
    </row>
    <row r="6" ht="32" customHeight="1" s="26">
      <c r="A6" s="31">
        <f>IF(Calculations!$B$118="Own the Frontier","Ownership is the lowest present-value TCO under current assumptions. Confirm sustained utilization is realistic and residual value assumptions are conservative.",IF(Calculations!$B$118="Rent the Frontier","Rental is the lowest-cost path at current volume and assumptions. Preferred when utilization risk, rapid hardware depreciation, or heavy frontier-model dependency is a concern.","Hybrid is the lowest-cost path. Route frontier-critical work to APIs and routine or sensitive volume to owned infrastructure."))</f>
        <v/>
      </c>
    </row>
    <row r="7" ht="32" customHeight="1" s="26">
      <c r="A7" s="31">
        <f>IF(Calculations!$B$94&gt;1,"Own break-even utilization is "&amp;TEXT(Calculations!$B$94,"0%")&amp;", above 100%: at this volume owned hardware cannot beat the API even running flat out. "&amp;IF(ISNUMBER(Calculations!$B$106),"Ownership breaks even at about "&amp;TEXT(Calculations!$B$106,"0.0")&amp;"x your Year 1 volume.","At these prices ownership does not break even at any volume."),IF(Calculations!$B$94&gt;0.7,"Own break-even utilization is "&amp;TEXT(Calculations!$B$94,"0%")&amp;", above the ~65-70% that is realistic to sustain.",IF(Calculations!$B$95&gt;=Calculations!$B$94,IF(Calculations!$B$118="Rent the Frontier","Own break-even utilization is "&amp;TEXT(Calculations!$B$94,"0%")&amp;" against expected utilization of "&amp;TEXT(Calculations!$B$95,"0%")&amp;", so the Year 1 run rate favors owning, but one-time costs and falling API prices keep Rent ahead over the horizon.","Own break-even utilization is "&amp;TEXT(Calculations!$B$94,"0%")&amp;" against expected utilization of "&amp;TEXT(Calculations!$B$95,"0%")&amp;", so owned capacity clears break-even."),"Own break-even utilization is "&amp;TEXT(Calculations!$B$94,"0%")&amp;" against expected utilization of "&amp;TEXT(Calculations!$B$95,"0%")&amp;". Ownership needs more sustained volume or lower fixed costs.")))</f>
        <v/>
      </c>
    </row>
    <row r="8" ht="32" customHeight="1" s="26">
      <c r="A8" s="31">
        <f>IF(AND(Calculations!$B$118&lt;&gt;"Hybrid",Calculations!$B$84&lt;=MIN(Calculations!$B$31,Calculations!$B$55)*1.1),"Hybrid is within 10% of the lowest-cost path, so it is worth a closer look.",IF(AND(Calculations!$B$118="Hybrid",Calculations!$B$99&gt;0.7),"Caution: the owned share needs "&amp;TEXT(Calculations!$B$99,"0%")&amp;" utilization to break even, above the ~65-70% guidance.",""))</f>
        <v/>
      </c>
    </row>
    <row r="9"/>
    <row r="10" ht="15" customHeight="1" s="26">
      <c r="A10" s="29" t="inlineStr">
        <is>
          <t>KEY METRICS</t>
        </is>
      </c>
    </row>
    <row r="11" ht="15" customHeight="1" s="26">
      <c r="A11" s="25">
        <f>"PV TCO, "&amp;Calculations!$B$6&amp;"-yr horizon: Rent"</f>
        <v/>
      </c>
      <c r="B11" s="45">
        <f>Calculations!$B$31</f>
        <v/>
      </c>
    </row>
    <row r="12" ht="15" customHeight="1" s="26">
      <c r="A12" s="25">
        <f>"PV TCO, "&amp;Calculations!$B$6&amp;"-yr horizon: Own"</f>
        <v/>
      </c>
      <c r="B12" s="45">
        <f>Calculations!$B$55</f>
        <v/>
      </c>
    </row>
    <row r="13" ht="15" customHeight="1" s="26">
      <c r="A13" s="25">
        <f>"PV TCO, "&amp;Calculations!$B$6&amp;"-yr horizon: Hybrid"</f>
        <v/>
      </c>
      <c r="B13" s="45">
        <f>Calculations!$B$84</f>
        <v/>
      </c>
    </row>
    <row r="14" ht="15" customHeight="1" s="26">
      <c r="A14" s="25" t="inlineStr">
        <is>
          <t>Nominal TCO, horizon: Rent</t>
        </is>
      </c>
      <c r="B14" s="45">
        <f>Calculations!$B$28</f>
        <v/>
      </c>
    </row>
    <row r="15" ht="15" customHeight="1" s="26">
      <c r="A15" s="25" t="inlineStr">
        <is>
          <t>Nominal TCO, horizon: Own</t>
        </is>
      </c>
      <c r="B15" s="45">
        <f>Calculations!$B$52</f>
        <v/>
      </c>
    </row>
    <row r="16" ht="15" customHeight="1" s="26">
      <c r="A16" s="25" t="inlineStr">
        <is>
          <t>Nominal TCO, horizon: Hybrid</t>
        </is>
      </c>
      <c r="B16" s="45">
        <f>Calculations!$B$81</f>
        <v/>
      </c>
    </row>
    <row r="17" ht="15" customHeight="1" s="26">
      <c r="A17" s="25" t="inlineStr">
        <is>
          <t>Y1 cost per million tokens: Rent</t>
        </is>
      </c>
      <c r="B17" s="44">
        <f>Calculations!$B$88</f>
        <v/>
      </c>
    </row>
    <row r="18" ht="15" customHeight="1" s="26">
      <c r="A18" s="25" t="inlineStr">
        <is>
          <t>Y1 cost per million tokens: Own</t>
        </is>
      </c>
      <c r="B18" s="44">
        <f>Calculations!$B$89</f>
        <v/>
      </c>
    </row>
    <row r="19">
      <c r="A19" s="25" t="inlineStr">
        <is>
          <t>Y1 cost per million tokens: Hybrid</t>
        </is>
      </c>
      <c r="B19" s="44">
        <f>Calculations!$B$90</f>
        <v/>
      </c>
    </row>
    <row r="20" ht="15" customHeight="1" s="26">
      <c r="A20" s="25" t="inlineStr">
        <is>
          <t>Own: break-even utilization vs Rent (fully loaded)</t>
        </is>
      </c>
      <c r="B20" s="46">
        <f>Calculations!$B$94</f>
        <v/>
      </c>
    </row>
    <row r="21" ht="15" customHeight="1" s="26">
      <c r="A21" s="25" t="inlineStr">
        <is>
          <t>Own: expected utilization (Y1)</t>
        </is>
      </c>
      <c r="B21" s="46">
        <f>Calculations!$B$95</f>
        <v/>
      </c>
    </row>
    <row r="22" ht="15" customHeight="1" s="26">
      <c r="A22" s="25" t="inlineStr">
        <is>
          <t>Own: break-even volume (x Year 1 volume)</t>
        </is>
      </c>
      <c r="B22" s="47">
        <f>Calculations!$B$106</f>
        <v/>
      </c>
    </row>
    <row r="23" ht="15" customHeight="1" s="26">
      <c r="A23" s="25" t="inlineStr">
        <is>
          <t>Hybrid owned share: break-even utilization</t>
        </is>
      </c>
      <c r="B23" s="46">
        <f>Calculations!$B$99</f>
        <v/>
      </c>
    </row>
    <row r="24">
      <c r="A24" s="25" t="inlineStr">
        <is>
          <t>Annual productivity value (if enabled)</t>
        </is>
      </c>
      <c r="B24" s="45">
        <f>IF(Inputs!$B$58="Yes",Calculations!$B$110,0)</f>
        <v/>
      </c>
    </row>
    <row r="25" ht="15" customHeight="1" s="26">
      <c r="A25" s="25" t="inlineStr">
        <is>
          <t>Net Y1 benefit (value - Rent cost)</t>
        </is>
      </c>
      <c r="B25" s="45">
        <f>Calculations!$B$115</f>
        <v/>
      </c>
    </row>
    <row r="26" ht="15" customHeight="1" s="26">
      <c r="A26" s="25" t="inlineStr">
        <is>
          <t>NPV of net benefit, recommended path</t>
        </is>
      </c>
      <c r="B26" s="45">
        <f>IF(Calculations!$B$118="Rent the Frontier",Calculations!$B$112,IF(Calculations!$B$118="Own the Frontier",Calculations!$B$113,Calculations!$B$114))</f>
        <v/>
      </c>
    </row>
    <row r="27" ht="15" customHeight="1" s="26"/>
    <row r="28" ht="15" customHeight="1" s="26">
      <c r="A28" s="29" t="inlineStr">
        <is>
          <t>WORKLOAD MIX (from Inputs)</t>
        </is>
      </c>
    </row>
    <row r="29">
      <c r="A29" s="25" t="inlineStr">
        <is>
          <t>Frontier-critical</t>
        </is>
      </c>
      <c r="B29" s="46">
        <f>Inputs!B12</f>
        <v/>
      </c>
    </row>
    <row r="30">
      <c r="A30" s="25" t="inlineStr">
        <is>
          <t>Routine / high-volume</t>
        </is>
      </c>
      <c r="B30" s="46">
        <f>Inputs!B13</f>
        <v/>
      </c>
    </row>
    <row r="31">
      <c r="A31" s="25" t="inlineStr">
        <is>
          <t>Sensitive / regulated</t>
        </is>
      </c>
      <c r="B31" s="46">
        <f>Inputs!B14</f>
        <v/>
      </c>
    </row>
    <row r="32">
      <c r="A32" s="25" t="inlineStr">
        <is>
          <t>Owned share used by Hybrid</t>
        </is>
      </c>
      <c r="B32" s="46">
        <f>Calculations!$B$58</f>
        <v/>
      </c>
    </row>
    <row r="33"/>
    <row r="34">
      <c r="A34" s="29" t="inlineStr">
        <is>
          <t>SCALE SUMMARY</t>
        </is>
      </c>
    </row>
    <row r="35">
      <c r="A35" s="25" t="inlineStr">
        <is>
          <t>Individual Contributors</t>
        </is>
      </c>
      <c r="B35" s="25">
        <f>Inputs!B5</f>
        <v/>
      </c>
    </row>
    <row r="36">
      <c r="A36" s="25" t="inlineStr">
        <is>
          <t>Agent Multiplier</t>
        </is>
      </c>
      <c r="B36" s="25">
        <f>Inputs!B7</f>
        <v/>
      </c>
    </row>
    <row r="37">
      <c r="A37" s="25" t="inlineStr">
        <is>
          <t>Annual Tokens (Y1)</t>
        </is>
      </c>
      <c r="B37" s="43">
        <f>Calculations!B15</f>
        <v/>
      </c>
    </row>
    <row r="38">
      <c r="A38" s="25" t="inlineStr">
        <is>
          <t>Own: GPUs installed (Y1)</t>
        </is>
      </c>
      <c r="B38" s="43">
        <f>Calculations!B35</f>
        <v/>
      </c>
    </row>
    <row r="39">
      <c r="A39" s="25" t="inlineStr">
        <is>
          <t>Hybrid: GPUs installed (Y1)</t>
        </is>
      </c>
      <c r="B39" s="43">
        <f>Calculations!B62</f>
        <v/>
      </c>
    </row>
  </sheetData>
  <mergeCells count="4">
    <mergeCell ref="A8:F8"/>
    <mergeCell ref="A6:F6"/>
    <mergeCell ref="A1:F1"/>
    <mergeCell ref="A7:F7"/>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drawing xmlns:r="http://schemas.openxmlformats.org/officeDocument/2006/relationships" r:id="rId1"/>
</worksheet>
</file>

<file path=xl/worksheets/sheet6.xml><?xml version="1.0" encoding="utf-8"?>
<worksheet xmlns="http://schemas.openxmlformats.org/spreadsheetml/2006/main">
  <sheetPr filterMode="0">
    <tabColor rgb="FF1F4E79"/>
    <outlinePr summaryBelow="1" summaryRight="1"/>
    <pageSetUpPr fitToPage="1"/>
  </sheetPr>
  <dimension ref="A1:K53"/>
  <sheetViews>
    <sheetView showFormulas="0" showGridLines="1" showRowColHeaders="1" showZeros="1" rightToLeft="0" tabSelected="0" showOutlineSymbols="1" defaultGridColor="1" view="normal" topLeftCell="A1" colorId="64" zoomScale="100" zoomScaleNormal="100" zoomScalePageLayoutView="100" workbookViewId="0">
      <pane ySplit="6" topLeftCell="A7" activePane="bottomLeft" state="frozen"/>
      <selection pane="bottomLeft" activeCell="A1" activeCellId="0" sqref="A1"/>
    </sheetView>
  </sheetViews>
  <sheetFormatPr baseColWidth="8" defaultColWidth="8.6796875" defaultRowHeight="15" zeroHeight="0" outlineLevelRow="0"/>
  <cols>
    <col width="38" customWidth="1" style="25" min="1" max="1"/>
    <col width="10" customWidth="1" style="26" min="2" max="2"/>
    <col width="7" customWidth="1" style="26" min="3" max="3"/>
    <col width="8" customWidth="1" style="26" min="4" max="4"/>
    <col width="14" customWidth="1" style="26" min="5" max="5"/>
    <col width="16" customWidth="1" style="26" min="6" max="6"/>
    <col width="16" customWidth="1" style="26" min="7" max="7"/>
    <col width="16" customWidth="1" style="26" min="8" max="8"/>
    <col width="20" customWidth="1" style="26" min="9" max="9"/>
    <col width="16" customWidth="1" style="26" min="10" max="10"/>
    <col width="18" customWidth="1" style="26" min="11" max="11"/>
  </cols>
  <sheetData>
    <row r="1" ht="15" customHeight="1" s="26">
      <c r="A1" s="36" t="inlineStr">
        <is>
          <t>SENSITIVITY ANALYSIS</t>
        </is>
      </c>
    </row>
    <row r="2"/>
    <row r="3" ht="15" customHeight="1" s="26">
      <c r="A3" s="29" t="inlineStr">
        <is>
          <t>Key driver sensitivity: each row reruns the full model with one driver multiplied by its factor and everything else at base</t>
        </is>
      </c>
    </row>
    <row r="4">
      <c r="A4" s="37" t="inlineStr">
        <is>
          <t>Factors in blue are editable (default 0.75 low, 1.25 high). Percent inputs are capped at 100%, and peak-to-average and N+1 are floored at 1.0x. Results update live from the Inputs sheet.</t>
        </is>
      </c>
    </row>
    <row r="5" ht="15" customHeight="1" s="26"/>
    <row r="6" ht="15" customHeight="1" s="26">
      <c r="A6" s="48" t="inlineStr">
        <is>
          <t>Driver</t>
        </is>
      </c>
      <c r="B6" s="48" t="inlineStr">
        <is>
          <t>Input cell</t>
        </is>
      </c>
      <c r="C6" s="48" t="inlineStr">
        <is>
          <t>Case</t>
        </is>
      </c>
      <c r="D6" s="48" t="inlineStr">
        <is>
          <t>Factor</t>
        </is>
      </c>
      <c r="E6" s="48" t="inlineStr">
        <is>
          <t>Value used</t>
        </is>
      </c>
      <c r="F6" s="48" t="inlineStr">
        <is>
          <t>PV TCO: Rent</t>
        </is>
      </c>
      <c r="G6" s="48" t="inlineStr">
        <is>
          <t>PV TCO: Own</t>
        </is>
      </c>
      <c r="H6" s="48" t="inlineStr">
        <is>
          <t>PV TCO: Hybrid</t>
        </is>
      </c>
      <c r="I6" s="48" t="inlineStr">
        <is>
          <t>Lowest-cost path</t>
        </is>
      </c>
      <c r="J6" s="48" t="inlineStr">
        <is>
          <t>Own break-even util.</t>
        </is>
      </c>
      <c r="K6" s="48" t="inlineStr">
        <is>
          <t>NPV, lowest-cost path</t>
        </is>
      </c>
    </row>
    <row r="7" ht="15" customHeight="1" s="26">
      <c r="A7" s="25" t="inlineStr">
        <is>
          <t>Base case (all inputs as entered)</t>
        </is>
      </c>
      <c r="B7" s="25" t="inlineStr"/>
      <c r="C7" s="25" t="inlineStr">
        <is>
          <t>Base</t>
        </is>
      </c>
      <c r="D7" s="25" t="n">
        <v>1</v>
      </c>
      <c r="E7" s="25" t="inlineStr"/>
      <c r="F7" s="45">
        <f>Sensitivity_Engine!DW4</f>
        <v/>
      </c>
      <c r="G7" s="45">
        <f>Sensitivity_Engine!HI4</f>
        <v/>
      </c>
      <c r="H7" s="45">
        <f>Sensitivity_Engine!LH4</f>
        <v/>
      </c>
      <c r="I7" s="49">
        <f>Sensitivity_Engine!MJ4</f>
        <v/>
      </c>
      <c r="J7" s="46">
        <f>Sensitivity_Engine!LP4</f>
        <v/>
      </c>
      <c r="K7" s="45">
        <f>IF(Inputs!$B$58="Yes",IF(Sensitivity_Engine!MJ4="Rent the Frontier",Sensitivity_Engine!MF4,IF(Sensitivity_Engine!MJ4="Own the Frontier",Sensitivity_Engine!MG4,Sensitivity_Engine!MH4)),"Off")</f>
        <v/>
      </c>
    </row>
    <row r="8" ht="15" customHeight="1" s="26">
      <c r="A8" s="25" t="inlineStr">
        <is>
          <t>Agent multiplier (productivity)</t>
        </is>
      </c>
      <c r="B8" s="25" t="inlineStr">
        <is>
          <t>B7</t>
        </is>
      </c>
      <c r="C8" s="25" t="inlineStr">
        <is>
          <t>Low</t>
        </is>
      </c>
      <c r="D8" s="55" t="n">
        <v>0.75</v>
      </c>
      <c r="E8" s="47">
        <f>Sensitivity_Engine!D5</f>
        <v/>
      </c>
      <c r="F8" s="45">
        <f>Sensitivity_Engine!DW5</f>
        <v/>
      </c>
      <c r="G8" s="45">
        <f>Sensitivity_Engine!HI5</f>
        <v/>
      </c>
      <c r="H8" s="45">
        <f>Sensitivity_Engine!LH5</f>
        <v/>
      </c>
      <c r="I8" s="49">
        <f>Sensitivity_Engine!MJ5</f>
        <v/>
      </c>
      <c r="J8" s="46">
        <f>Sensitivity_Engine!LP5</f>
        <v/>
      </c>
      <c r="K8" s="45">
        <f>IF(Inputs!$B$58="Yes",IF(Sensitivity_Engine!MJ5="Rent the Frontier",Sensitivity_Engine!MF5,IF(Sensitivity_Engine!MJ5="Own the Frontier",Sensitivity_Engine!MG5,Sensitivity_Engine!MH5)),"Off")</f>
        <v/>
      </c>
    </row>
    <row r="9" ht="15" customHeight="1" s="26">
      <c r="A9" s="25" t="inlineStr">
        <is>
          <t>Agent multiplier (productivity)</t>
        </is>
      </c>
      <c r="B9" s="25" t="inlineStr">
        <is>
          <t>B7</t>
        </is>
      </c>
      <c r="C9" s="25" t="inlineStr">
        <is>
          <t>High</t>
        </is>
      </c>
      <c r="D9" s="55" t="n">
        <v>1.25</v>
      </c>
      <c r="E9" s="47">
        <f>Sensitivity_Engine!D6</f>
        <v/>
      </c>
      <c r="F9" s="45">
        <f>Sensitivity_Engine!DW6</f>
        <v/>
      </c>
      <c r="G9" s="45">
        <f>Sensitivity_Engine!HI6</f>
        <v/>
      </c>
      <c r="H9" s="45">
        <f>Sensitivity_Engine!LH6</f>
        <v/>
      </c>
      <c r="I9" s="49">
        <f>Sensitivity_Engine!MJ6</f>
        <v/>
      </c>
      <c r="J9" s="46">
        <f>Sensitivity_Engine!LP6</f>
        <v/>
      </c>
      <c r="K9" s="45">
        <f>IF(Inputs!$B$58="Yes",IF(Sensitivity_Engine!MJ6="Rent the Frontier",Sensitivity_Engine!MF6,IF(Sensitivity_Engine!MJ6="Own the Frontier",Sensitivity_Engine!MG6,Sensitivity_Engine!MH6)),"Off")</f>
        <v/>
      </c>
    </row>
    <row r="10" ht="15" customHeight="1" s="26">
      <c r="A10" s="25" t="inlineStr">
        <is>
          <t>Productivity capture rate</t>
        </is>
      </c>
      <c r="B10" s="25" t="inlineStr">
        <is>
          <t>B8</t>
        </is>
      </c>
      <c r="C10" s="25" t="inlineStr">
        <is>
          <t>Low</t>
        </is>
      </c>
      <c r="D10" s="55" t="n">
        <v>0.75</v>
      </c>
      <c r="E10" s="46">
        <f>Sensitivity_Engine!E7</f>
        <v/>
      </c>
      <c r="F10" s="45">
        <f>Sensitivity_Engine!DW7</f>
        <v/>
      </c>
      <c r="G10" s="45">
        <f>Sensitivity_Engine!HI7</f>
        <v/>
      </c>
      <c r="H10" s="45">
        <f>Sensitivity_Engine!LH7</f>
        <v/>
      </c>
      <c r="I10" s="49">
        <f>Sensitivity_Engine!MJ7</f>
        <v/>
      </c>
      <c r="J10" s="46">
        <f>Sensitivity_Engine!LP7</f>
        <v/>
      </c>
      <c r="K10" s="45">
        <f>IF(Inputs!$B$58="Yes",IF(Sensitivity_Engine!MJ7="Rent the Frontier",Sensitivity_Engine!MF7,IF(Sensitivity_Engine!MJ7="Own the Frontier",Sensitivity_Engine!MG7,Sensitivity_Engine!MH7)),"Off")</f>
        <v/>
      </c>
    </row>
    <row r="11" ht="15" customHeight="1" s="26">
      <c r="A11" s="25" t="inlineStr">
        <is>
          <t>Productivity capture rate</t>
        </is>
      </c>
      <c r="B11" s="25" t="inlineStr">
        <is>
          <t>B8</t>
        </is>
      </c>
      <c r="C11" s="25" t="inlineStr">
        <is>
          <t>High</t>
        </is>
      </c>
      <c r="D11" s="55" t="n">
        <v>1.25</v>
      </c>
      <c r="E11" s="46">
        <f>Sensitivity_Engine!E8</f>
        <v/>
      </c>
      <c r="F11" s="45">
        <f>Sensitivity_Engine!DW8</f>
        <v/>
      </c>
      <c r="G11" s="45">
        <f>Sensitivity_Engine!HI8</f>
        <v/>
      </c>
      <c r="H11" s="45">
        <f>Sensitivity_Engine!LH8</f>
        <v/>
      </c>
      <c r="I11" s="49">
        <f>Sensitivity_Engine!MJ8</f>
        <v/>
      </c>
      <c r="J11" s="46">
        <f>Sensitivity_Engine!LP8</f>
        <v/>
      </c>
      <c r="K11" s="45">
        <f>IF(Inputs!$B$58="Yes",IF(Sensitivity_Engine!MJ8="Rent the Frontier",Sensitivity_Engine!MF8,IF(Sensitivity_Engine!MJ8="Own the Frontier",Sensitivity_Engine!MG8,Sensitivity_Engine!MH8)),"Off")</f>
        <v/>
      </c>
    </row>
    <row r="12" ht="15" customHeight="1" s="26">
      <c r="A12" s="25" t="inlineStr">
        <is>
          <t>Blended API cost per M tokens</t>
        </is>
      </c>
      <c r="B12" s="25" t="inlineStr">
        <is>
          <t>B26</t>
        </is>
      </c>
      <c r="C12" s="25" t="inlineStr">
        <is>
          <t>Low</t>
        </is>
      </c>
      <c r="D12" s="55" t="n">
        <v>0.75</v>
      </c>
      <c r="E12" s="44">
        <f>Sensitivity_Engine!O9</f>
        <v/>
      </c>
      <c r="F12" s="45">
        <f>Sensitivity_Engine!DW9</f>
        <v/>
      </c>
      <c r="G12" s="45">
        <f>Sensitivity_Engine!HI9</f>
        <v/>
      </c>
      <c r="H12" s="45">
        <f>Sensitivity_Engine!LH9</f>
        <v/>
      </c>
      <c r="I12" s="49">
        <f>Sensitivity_Engine!MJ9</f>
        <v/>
      </c>
      <c r="J12" s="46">
        <f>Sensitivity_Engine!LP9</f>
        <v/>
      </c>
      <c r="K12" s="45">
        <f>IF(Inputs!$B$58="Yes",IF(Sensitivity_Engine!MJ9="Rent the Frontier",Sensitivity_Engine!MF9,IF(Sensitivity_Engine!MJ9="Own the Frontier",Sensitivity_Engine!MG9,Sensitivity_Engine!MH9)),"Off")</f>
        <v/>
      </c>
    </row>
    <row r="13" ht="15" customHeight="1" s="26">
      <c r="A13" s="25" t="inlineStr">
        <is>
          <t>Blended API cost per M tokens</t>
        </is>
      </c>
      <c r="B13" s="25" t="inlineStr">
        <is>
          <t>B26</t>
        </is>
      </c>
      <c r="C13" s="25" t="inlineStr">
        <is>
          <t>High</t>
        </is>
      </c>
      <c r="D13" s="55" t="n">
        <v>1.25</v>
      </c>
      <c r="E13" s="44">
        <f>Sensitivity_Engine!O10</f>
        <v/>
      </c>
      <c r="F13" s="45">
        <f>Sensitivity_Engine!DW10</f>
        <v/>
      </c>
      <c r="G13" s="45">
        <f>Sensitivity_Engine!HI10</f>
        <v/>
      </c>
      <c r="H13" s="45">
        <f>Sensitivity_Engine!LH10</f>
        <v/>
      </c>
      <c r="I13" s="49">
        <f>Sensitivity_Engine!MJ10</f>
        <v/>
      </c>
      <c r="J13" s="46">
        <f>Sensitivity_Engine!LP10</f>
        <v/>
      </c>
      <c r="K13" s="45">
        <f>IF(Inputs!$B$58="Yes",IF(Sensitivity_Engine!MJ10="Rent the Frontier",Sensitivity_Engine!MF10,IF(Sensitivity_Engine!MJ10="Own the Frontier",Sensitivity_Engine!MG10,Sensitivity_Engine!MH10)),"Off")</f>
        <v/>
      </c>
    </row>
    <row r="14" ht="15" customHeight="1" s="26">
      <c r="A14" s="25" t="inlineStr">
        <is>
          <t>CapEx per GPU</t>
        </is>
      </c>
      <c r="B14" s="25" t="inlineStr">
        <is>
          <t>B35</t>
        </is>
      </c>
      <c r="C14" s="25" t="inlineStr">
        <is>
          <t>Low</t>
        </is>
      </c>
      <c r="D14" s="55" t="n">
        <v>0.75</v>
      </c>
      <c r="E14" s="45">
        <f>Sensitivity_Engine!V11</f>
        <v/>
      </c>
      <c r="F14" s="45">
        <f>Sensitivity_Engine!DW11</f>
        <v/>
      </c>
      <c r="G14" s="45">
        <f>Sensitivity_Engine!HI11</f>
        <v/>
      </c>
      <c r="H14" s="45">
        <f>Sensitivity_Engine!LH11</f>
        <v/>
      </c>
      <c r="I14" s="49">
        <f>Sensitivity_Engine!MJ11</f>
        <v/>
      </c>
      <c r="J14" s="46">
        <f>Sensitivity_Engine!LP11</f>
        <v/>
      </c>
      <c r="K14" s="45">
        <f>IF(Inputs!$B$58="Yes",IF(Sensitivity_Engine!MJ11="Rent the Frontier",Sensitivity_Engine!MF11,IF(Sensitivity_Engine!MJ11="Own the Frontier",Sensitivity_Engine!MG11,Sensitivity_Engine!MH11)),"Off")</f>
        <v/>
      </c>
    </row>
    <row r="15">
      <c r="A15" s="25" t="inlineStr">
        <is>
          <t>CapEx per GPU</t>
        </is>
      </c>
      <c r="B15" s="25" t="inlineStr">
        <is>
          <t>B35</t>
        </is>
      </c>
      <c r="C15" s="25" t="inlineStr">
        <is>
          <t>High</t>
        </is>
      </c>
      <c r="D15" s="55" t="n">
        <v>1.25</v>
      </c>
      <c r="E15" s="45">
        <f>Sensitivity_Engine!V12</f>
        <v/>
      </c>
      <c r="F15" s="45">
        <f>Sensitivity_Engine!DW12</f>
        <v/>
      </c>
      <c r="G15" s="45">
        <f>Sensitivity_Engine!HI12</f>
        <v/>
      </c>
      <c r="H15" s="45">
        <f>Sensitivity_Engine!LH12</f>
        <v/>
      </c>
      <c r="I15" s="49">
        <f>Sensitivity_Engine!MJ12</f>
        <v/>
      </c>
      <c r="J15" s="46">
        <f>Sensitivity_Engine!LP12</f>
        <v/>
      </c>
      <c r="K15" s="45">
        <f>IF(Inputs!$B$58="Yes",IF(Sensitivity_Engine!MJ12="Rent the Frontier",Sensitivity_Engine!MF12,IF(Sensitivity_Engine!MJ12="Own the Frontier",Sensitivity_Engine!MG12,Sensitivity_Engine!MH12)),"Off")</f>
        <v/>
      </c>
    </row>
    <row r="16" ht="15" customHeight="1" s="26">
      <c r="A16" s="25" t="inlineStr">
        <is>
          <t>Residual value %</t>
        </is>
      </c>
      <c r="B16" s="25" t="inlineStr">
        <is>
          <t>B37</t>
        </is>
      </c>
      <c r="C16" s="25" t="inlineStr">
        <is>
          <t>Low</t>
        </is>
      </c>
      <c r="D16" s="55" t="n">
        <v>0.75</v>
      </c>
      <c r="E16" s="46">
        <f>Sensitivity_Engine!X13</f>
        <v/>
      </c>
      <c r="F16" s="45">
        <f>Sensitivity_Engine!DW13</f>
        <v/>
      </c>
      <c r="G16" s="45">
        <f>Sensitivity_Engine!HI13</f>
        <v/>
      </c>
      <c r="H16" s="45">
        <f>Sensitivity_Engine!LH13</f>
        <v/>
      </c>
      <c r="I16" s="49">
        <f>Sensitivity_Engine!MJ13</f>
        <v/>
      </c>
      <c r="J16" s="46">
        <f>Sensitivity_Engine!LP13</f>
        <v/>
      </c>
      <c r="K16" s="45">
        <f>IF(Inputs!$B$58="Yes",IF(Sensitivity_Engine!MJ13="Rent the Frontier",Sensitivity_Engine!MF13,IF(Sensitivity_Engine!MJ13="Own the Frontier",Sensitivity_Engine!MG13,Sensitivity_Engine!MH13)),"Off")</f>
        <v/>
      </c>
    </row>
    <row r="17" ht="15" customHeight="1" s="26">
      <c r="A17" s="25" t="inlineStr">
        <is>
          <t>Residual value %</t>
        </is>
      </c>
      <c r="B17" s="25" t="inlineStr">
        <is>
          <t>B37</t>
        </is>
      </c>
      <c r="C17" s="25" t="inlineStr">
        <is>
          <t>High</t>
        </is>
      </c>
      <c r="D17" s="55" t="n">
        <v>1.25</v>
      </c>
      <c r="E17" s="46">
        <f>Sensitivity_Engine!X14</f>
        <v/>
      </c>
      <c r="F17" s="45">
        <f>Sensitivity_Engine!DW14</f>
        <v/>
      </c>
      <c r="G17" s="45">
        <f>Sensitivity_Engine!HI14</f>
        <v/>
      </c>
      <c r="H17" s="45">
        <f>Sensitivity_Engine!LH14</f>
        <v/>
      </c>
      <c r="I17" s="49">
        <f>Sensitivity_Engine!MJ14</f>
        <v/>
      </c>
      <c r="J17" s="46">
        <f>Sensitivity_Engine!LP14</f>
        <v/>
      </c>
      <c r="K17" s="45">
        <f>IF(Inputs!$B$58="Yes",IF(Sensitivity_Engine!MJ14="Rent the Frontier",Sensitivity_Engine!MF14,IF(Sensitivity_Engine!MJ14="Own the Frontier",Sensitivity_Engine!MG14,Sensitivity_Engine!MH14)),"Off")</f>
        <v/>
      </c>
    </row>
    <row r="18" ht="15" customHeight="1" s="26">
      <c r="A18" s="25" t="inlineStr">
        <is>
          <t>Engineering / MLOps FTEs, Own path</t>
        </is>
      </c>
      <c r="B18" s="25" t="inlineStr">
        <is>
          <t>B45</t>
        </is>
      </c>
      <c r="C18" s="25" t="inlineStr">
        <is>
          <t>Low</t>
        </is>
      </c>
      <c r="D18" s="55" t="n">
        <v>0.75</v>
      </c>
      <c r="E18" s="47">
        <f>Sensitivity_Engine!AF15</f>
        <v/>
      </c>
      <c r="F18" s="45">
        <f>Sensitivity_Engine!DW15</f>
        <v/>
      </c>
      <c r="G18" s="45">
        <f>Sensitivity_Engine!HI15</f>
        <v/>
      </c>
      <c r="H18" s="45">
        <f>Sensitivity_Engine!LH15</f>
        <v/>
      </c>
      <c r="I18" s="49">
        <f>Sensitivity_Engine!MJ15</f>
        <v/>
      </c>
      <c r="J18" s="46">
        <f>Sensitivity_Engine!LP15</f>
        <v/>
      </c>
      <c r="K18" s="45">
        <f>IF(Inputs!$B$58="Yes",IF(Sensitivity_Engine!MJ15="Rent the Frontier",Sensitivity_Engine!MF15,IF(Sensitivity_Engine!MJ15="Own the Frontier",Sensitivity_Engine!MG15,Sensitivity_Engine!MH15)),"Off")</f>
        <v/>
      </c>
    </row>
    <row r="19" ht="15" customHeight="1" s="26">
      <c r="A19" s="25" t="inlineStr">
        <is>
          <t>Engineering / MLOps FTEs, Own path</t>
        </is>
      </c>
      <c r="B19" s="25" t="inlineStr">
        <is>
          <t>B45</t>
        </is>
      </c>
      <c r="C19" s="25" t="inlineStr">
        <is>
          <t>High</t>
        </is>
      </c>
      <c r="D19" s="55" t="n">
        <v>1.25</v>
      </c>
      <c r="E19" s="47">
        <f>Sensitivity_Engine!AF16</f>
        <v/>
      </c>
      <c r="F19" s="45">
        <f>Sensitivity_Engine!DW16</f>
        <v/>
      </c>
      <c r="G19" s="45">
        <f>Sensitivity_Engine!HI16</f>
        <v/>
      </c>
      <c r="H19" s="45">
        <f>Sensitivity_Engine!LH16</f>
        <v/>
      </c>
      <c r="I19" s="49">
        <f>Sensitivity_Engine!MJ16</f>
        <v/>
      </c>
      <c r="J19" s="46">
        <f>Sensitivity_Engine!LP16</f>
        <v/>
      </c>
      <c r="K19" s="45">
        <f>IF(Inputs!$B$58="Yes",IF(Sensitivity_Engine!MJ16="Rent the Frontier",Sensitivity_Engine!MF16,IF(Sensitivity_Engine!MJ16="Own the Frontier",Sensitivity_Engine!MG16,Sensitivity_Engine!MH16)),"Off")</f>
        <v/>
      </c>
    </row>
    <row r="20">
      <c r="A20" s="25" t="inlineStr">
        <is>
          <t>Peak-to-average ratio</t>
        </is>
      </c>
      <c r="B20" s="25" t="inlineStr">
        <is>
          <t>B22</t>
        </is>
      </c>
      <c r="C20" s="25" t="inlineStr">
        <is>
          <t>Low</t>
        </is>
      </c>
      <c r="D20" s="55" t="n">
        <v>0.75</v>
      </c>
      <c r="E20" s="47">
        <f>Sensitivity_Engine!M17</f>
        <v/>
      </c>
      <c r="F20" s="45">
        <f>Sensitivity_Engine!DW17</f>
        <v/>
      </c>
      <c r="G20" s="45">
        <f>Sensitivity_Engine!HI17</f>
        <v/>
      </c>
      <c r="H20" s="45">
        <f>Sensitivity_Engine!LH17</f>
        <v/>
      </c>
      <c r="I20" s="49">
        <f>Sensitivity_Engine!MJ17</f>
        <v/>
      </c>
      <c r="J20" s="46">
        <f>Sensitivity_Engine!LP17</f>
        <v/>
      </c>
      <c r="K20" s="45">
        <f>IF(Inputs!$B$58="Yes",IF(Sensitivity_Engine!MJ17="Rent the Frontier",Sensitivity_Engine!MF17,IF(Sensitivity_Engine!MJ17="Own the Frontier",Sensitivity_Engine!MG17,Sensitivity_Engine!MH17)),"Off")</f>
        <v/>
      </c>
    </row>
    <row r="21">
      <c r="A21" s="25" t="inlineStr">
        <is>
          <t>Peak-to-average ratio</t>
        </is>
      </c>
      <c r="B21" s="25" t="inlineStr">
        <is>
          <t>B22</t>
        </is>
      </c>
      <c r="C21" s="25" t="inlineStr">
        <is>
          <t>High</t>
        </is>
      </c>
      <c r="D21" s="55" t="n">
        <v>1.25</v>
      </c>
      <c r="E21" s="47">
        <f>Sensitivity_Engine!M18</f>
        <v/>
      </c>
      <c r="F21" s="45">
        <f>Sensitivity_Engine!DW18</f>
        <v/>
      </c>
      <c r="G21" s="45">
        <f>Sensitivity_Engine!HI18</f>
        <v/>
      </c>
      <c r="H21" s="45">
        <f>Sensitivity_Engine!LH18</f>
        <v/>
      </c>
      <c r="I21" s="49">
        <f>Sensitivity_Engine!MJ18</f>
        <v/>
      </c>
      <c r="J21" s="46">
        <f>Sensitivity_Engine!LP18</f>
        <v/>
      </c>
      <c r="K21" s="45">
        <f>IF(Inputs!$B$58="Yes",IF(Sensitivity_Engine!MJ18="Rent the Frontier",Sensitivity_Engine!MF18,IF(Sensitivity_Engine!MJ18="Own the Frontier",Sensitivity_Engine!MG18,Sensitivity_Engine!MH18)),"Off")</f>
        <v/>
      </c>
    </row>
    <row r="22">
      <c r="A22" s="25" t="inlineStr">
        <is>
          <t>N+1 redundancy factor</t>
        </is>
      </c>
      <c r="B22" s="25" t="inlineStr">
        <is>
          <t>B48</t>
        </is>
      </c>
      <c r="C22" s="25" t="inlineStr">
        <is>
          <t>Low</t>
        </is>
      </c>
      <c r="D22" s="55" t="n">
        <v>0.75</v>
      </c>
      <c r="E22" s="47">
        <f>Sensitivity_Engine!AI19</f>
        <v/>
      </c>
      <c r="F22" s="45">
        <f>Sensitivity_Engine!DW19</f>
        <v/>
      </c>
      <c r="G22" s="45">
        <f>Sensitivity_Engine!HI19</f>
        <v/>
      </c>
      <c r="H22" s="45">
        <f>Sensitivity_Engine!LH19</f>
        <v/>
      </c>
      <c r="I22" s="49">
        <f>Sensitivity_Engine!MJ19</f>
        <v/>
      </c>
      <c r="J22" s="46">
        <f>Sensitivity_Engine!LP19</f>
        <v/>
      </c>
      <c r="K22" s="45">
        <f>IF(Inputs!$B$58="Yes",IF(Sensitivity_Engine!MJ19="Rent the Frontier",Sensitivity_Engine!MF19,IF(Sensitivity_Engine!MJ19="Own the Frontier",Sensitivity_Engine!MG19,Sensitivity_Engine!MH19)),"Off")</f>
        <v/>
      </c>
    </row>
    <row r="23">
      <c r="A23" s="25" t="inlineStr">
        <is>
          <t>N+1 redundancy factor</t>
        </is>
      </c>
      <c r="B23" s="25" t="inlineStr">
        <is>
          <t>B48</t>
        </is>
      </c>
      <c r="C23" s="25" t="inlineStr">
        <is>
          <t>High</t>
        </is>
      </c>
      <c r="D23" s="55" t="n">
        <v>1.25</v>
      </c>
      <c r="E23" s="47">
        <f>Sensitivity_Engine!AI20</f>
        <v/>
      </c>
      <c r="F23" s="45">
        <f>Sensitivity_Engine!DW20</f>
        <v/>
      </c>
      <c r="G23" s="45">
        <f>Sensitivity_Engine!HI20</f>
        <v/>
      </c>
      <c r="H23" s="45">
        <f>Sensitivity_Engine!LH20</f>
        <v/>
      </c>
      <c r="I23" s="49">
        <f>Sensitivity_Engine!MJ20</f>
        <v/>
      </c>
      <c r="J23" s="46">
        <f>Sensitivity_Engine!LP20</f>
        <v/>
      </c>
      <c r="K23" s="45">
        <f>IF(Inputs!$B$58="Yes",IF(Sensitivity_Engine!MJ20="Rent the Frontier",Sensitivity_Engine!MF20,IF(Sensitivity_Engine!MJ20="Own the Frontier",Sensitivity_Engine!MG20,Sensitivity_Engine!MH20)),"Off")</f>
        <v/>
      </c>
    </row>
    <row r="24">
      <c r="A24" s="25" t="inlineStr">
        <is>
          <t>Hybrid owned share</t>
        </is>
      </c>
      <c r="B24" s="25" t="inlineStr">
        <is>
          <t>B53</t>
        </is>
      </c>
      <c r="C24" s="25" t="inlineStr">
        <is>
          <t>Low</t>
        </is>
      </c>
      <c r="D24" s="55" t="n">
        <v>0.75</v>
      </c>
      <c r="E24" s="46">
        <f>Sensitivity_Engine!HJ21</f>
        <v/>
      </c>
      <c r="F24" s="45">
        <f>Sensitivity_Engine!DW21</f>
        <v/>
      </c>
      <c r="G24" s="45">
        <f>Sensitivity_Engine!HI21</f>
        <v/>
      </c>
      <c r="H24" s="45">
        <f>Sensitivity_Engine!LH21</f>
        <v/>
      </c>
      <c r="I24" s="49">
        <f>Sensitivity_Engine!MJ21</f>
        <v/>
      </c>
      <c r="J24" s="46">
        <f>Sensitivity_Engine!LP21</f>
        <v/>
      </c>
      <c r="K24" s="45">
        <f>IF(Inputs!$B$58="Yes",IF(Sensitivity_Engine!MJ21="Rent the Frontier",Sensitivity_Engine!MF21,IF(Sensitivity_Engine!MJ21="Own the Frontier",Sensitivity_Engine!MG21,Sensitivity_Engine!MH21)),"Off")</f>
        <v/>
      </c>
    </row>
    <row r="25">
      <c r="A25" s="25" t="inlineStr">
        <is>
          <t>Hybrid owned share</t>
        </is>
      </c>
      <c r="B25" s="25" t="inlineStr">
        <is>
          <t>B53</t>
        </is>
      </c>
      <c r="C25" s="25" t="inlineStr">
        <is>
          <t>High</t>
        </is>
      </c>
      <c r="D25" s="55" t="n">
        <v>1.25</v>
      </c>
      <c r="E25" s="46">
        <f>Sensitivity_Engine!HJ22</f>
        <v/>
      </c>
      <c r="F25" s="45">
        <f>Sensitivity_Engine!DW22</f>
        <v/>
      </c>
      <c r="G25" s="45">
        <f>Sensitivity_Engine!HI22</f>
        <v/>
      </c>
      <c r="H25" s="45">
        <f>Sensitivity_Engine!LH22</f>
        <v/>
      </c>
      <c r="I25" s="49">
        <f>Sensitivity_Engine!MJ22</f>
        <v/>
      </c>
      <c r="J25" s="46">
        <f>Sensitivity_Engine!LP22</f>
        <v/>
      </c>
      <c r="K25" s="45">
        <f>IF(Inputs!$B$58="Yes",IF(Sensitivity_Engine!MJ22="Rent the Frontier",Sensitivity_Engine!MF22,IF(Sensitivity_Engine!MJ22="Own the Frontier",Sensitivity_Engine!MG22,Sensitivity_Engine!MH22)),"Off")</f>
        <v/>
      </c>
    </row>
    <row r="26">
      <c r="A26" s="25" t="inlineStr">
        <is>
          <t>Throughput per GPU</t>
        </is>
      </c>
      <c r="B26" s="25" t="inlineStr">
        <is>
          <t>B61</t>
        </is>
      </c>
      <c r="C26" s="25" t="inlineStr">
        <is>
          <t>Low</t>
        </is>
      </c>
      <c r="D26" s="55" t="n">
        <v>0.75</v>
      </c>
      <c r="E26" s="43">
        <f>Sensitivity_Engine!AP23</f>
        <v/>
      </c>
      <c r="F26" s="45">
        <f>Sensitivity_Engine!DW23</f>
        <v/>
      </c>
      <c r="G26" s="45">
        <f>Sensitivity_Engine!HI23</f>
        <v/>
      </c>
      <c r="H26" s="45">
        <f>Sensitivity_Engine!LH23</f>
        <v/>
      </c>
      <c r="I26" s="49">
        <f>Sensitivity_Engine!MJ23</f>
        <v/>
      </c>
      <c r="J26" s="46">
        <f>Sensitivity_Engine!LP23</f>
        <v/>
      </c>
      <c r="K26" s="45">
        <f>IF(Inputs!$B$58="Yes",IF(Sensitivity_Engine!MJ23="Rent the Frontier",Sensitivity_Engine!MF23,IF(Sensitivity_Engine!MJ23="Own the Frontier",Sensitivity_Engine!MG23,Sensitivity_Engine!MH23)),"Off")</f>
        <v/>
      </c>
    </row>
    <row r="27">
      <c r="A27" s="25" t="inlineStr">
        <is>
          <t>Throughput per GPU</t>
        </is>
      </c>
      <c r="B27" s="25" t="inlineStr">
        <is>
          <t>B61</t>
        </is>
      </c>
      <c r="C27" s="25" t="inlineStr">
        <is>
          <t>High</t>
        </is>
      </c>
      <c r="D27" s="55" t="n">
        <v>1.25</v>
      </c>
      <c r="E27" s="43">
        <f>Sensitivity_Engine!AP24</f>
        <v/>
      </c>
      <c r="F27" s="45">
        <f>Sensitivity_Engine!DW24</f>
        <v/>
      </c>
      <c r="G27" s="45">
        <f>Sensitivity_Engine!HI24</f>
        <v/>
      </c>
      <c r="H27" s="45">
        <f>Sensitivity_Engine!LH24</f>
        <v/>
      </c>
      <c r="I27" s="49">
        <f>Sensitivity_Engine!MJ24</f>
        <v/>
      </c>
      <c r="J27" s="46">
        <f>Sensitivity_Engine!LP24</f>
        <v/>
      </c>
      <c r="K27" s="45">
        <f>IF(Inputs!$B$58="Yes",IF(Sensitivity_Engine!MJ24="Rent the Frontier",Sensitivity_Engine!MF24,IF(Sensitivity_Engine!MJ24="Own the Frontier",Sensitivity_Engine!MG24,Sensitivity_Engine!MH24)),"Off")</f>
        <v/>
      </c>
    </row>
    <row r="28">
      <c r="A28" s="25" t="inlineStr">
        <is>
          <t>Annual usage growth</t>
        </is>
      </c>
      <c r="B28" s="25" t="inlineStr">
        <is>
          <t>B23</t>
        </is>
      </c>
      <c r="C28" s="25" t="inlineStr">
        <is>
          <t>Low</t>
        </is>
      </c>
      <c r="D28" s="55" t="n">
        <v>0.75</v>
      </c>
      <c r="E28" s="46">
        <f>Sensitivity_Engine!N25</f>
        <v/>
      </c>
      <c r="F28" s="45">
        <f>Sensitivity_Engine!DW25</f>
        <v/>
      </c>
      <c r="G28" s="45">
        <f>Sensitivity_Engine!HI25</f>
        <v/>
      </c>
      <c r="H28" s="45">
        <f>Sensitivity_Engine!LH25</f>
        <v/>
      </c>
      <c r="I28" s="49">
        <f>Sensitivity_Engine!MJ25</f>
        <v/>
      </c>
      <c r="J28" s="46">
        <f>Sensitivity_Engine!LP25</f>
        <v/>
      </c>
      <c r="K28" s="45">
        <f>IF(Inputs!$B$58="Yes",IF(Sensitivity_Engine!MJ25="Rent the Frontier",Sensitivity_Engine!MF25,IF(Sensitivity_Engine!MJ25="Own the Frontier",Sensitivity_Engine!MG25,Sensitivity_Engine!MH25)),"Off")</f>
        <v/>
      </c>
    </row>
    <row r="29">
      <c r="A29" s="25" t="inlineStr">
        <is>
          <t>Annual usage growth</t>
        </is>
      </c>
      <c r="B29" s="25" t="inlineStr">
        <is>
          <t>B23</t>
        </is>
      </c>
      <c r="C29" s="25" t="inlineStr">
        <is>
          <t>High</t>
        </is>
      </c>
      <c r="D29" s="55" t="n">
        <v>1.25</v>
      </c>
      <c r="E29" s="46">
        <f>Sensitivity_Engine!N26</f>
        <v/>
      </c>
      <c r="F29" s="45">
        <f>Sensitivity_Engine!DW26</f>
        <v/>
      </c>
      <c r="G29" s="45">
        <f>Sensitivity_Engine!HI26</f>
        <v/>
      </c>
      <c r="H29" s="45">
        <f>Sensitivity_Engine!LH26</f>
        <v/>
      </c>
      <c r="I29" s="49">
        <f>Sensitivity_Engine!MJ26</f>
        <v/>
      </c>
      <c r="J29" s="46">
        <f>Sensitivity_Engine!LP26</f>
        <v/>
      </c>
      <c r="K29" s="45">
        <f>IF(Inputs!$B$58="Yes",IF(Sensitivity_Engine!MJ26="Rent the Frontier",Sensitivity_Engine!MF26,IF(Sensitivity_Engine!MJ26="Own the Frontier",Sensitivity_Engine!MG26,Sensitivity_Engine!MH26)),"Off")</f>
        <v/>
      </c>
    </row>
    <row r="30">
      <c r="A30" s="25" t="inlineStr">
        <is>
          <t>Discount rate</t>
        </is>
      </c>
      <c r="B30" s="25" t="inlineStr">
        <is>
          <t>B56</t>
        </is>
      </c>
      <c r="C30" s="25" t="inlineStr">
        <is>
          <t>Low</t>
        </is>
      </c>
      <c r="D30" s="55" t="n">
        <v>0.75</v>
      </c>
      <c r="E30" s="46">
        <f>Sensitivity_Engine!AM27</f>
        <v/>
      </c>
      <c r="F30" s="45">
        <f>Sensitivity_Engine!DW27</f>
        <v/>
      </c>
      <c r="G30" s="45">
        <f>Sensitivity_Engine!HI27</f>
        <v/>
      </c>
      <c r="H30" s="45">
        <f>Sensitivity_Engine!LH27</f>
        <v/>
      </c>
      <c r="I30" s="49">
        <f>Sensitivity_Engine!MJ27</f>
        <v/>
      </c>
      <c r="J30" s="46">
        <f>Sensitivity_Engine!LP27</f>
        <v/>
      </c>
      <c r="K30" s="45">
        <f>IF(Inputs!$B$58="Yes",IF(Sensitivity_Engine!MJ27="Rent the Frontier",Sensitivity_Engine!MF27,IF(Sensitivity_Engine!MJ27="Own the Frontier",Sensitivity_Engine!MG27,Sensitivity_Engine!MH27)),"Off")</f>
        <v/>
      </c>
    </row>
    <row r="31">
      <c r="A31" s="25" t="inlineStr">
        <is>
          <t>Discount rate</t>
        </is>
      </c>
      <c r="B31" s="25" t="inlineStr">
        <is>
          <t>B56</t>
        </is>
      </c>
      <c r="C31" s="25" t="inlineStr">
        <is>
          <t>High</t>
        </is>
      </c>
      <c r="D31" s="55" t="n">
        <v>1.25</v>
      </c>
      <c r="E31" s="46">
        <f>Sensitivity_Engine!AM28</f>
        <v/>
      </c>
      <c r="F31" s="45">
        <f>Sensitivity_Engine!DW28</f>
        <v/>
      </c>
      <c r="G31" s="45">
        <f>Sensitivity_Engine!HI28</f>
        <v/>
      </c>
      <c r="H31" s="45">
        <f>Sensitivity_Engine!LH28</f>
        <v/>
      </c>
      <c r="I31" s="49">
        <f>Sensitivity_Engine!MJ28</f>
        <v/>
      </c>
      <c r="J31" s="46">
        <f>Sensitivity_Engine!LP28</f>
        <v/>
      </c>
      <c r="K31" s="45">
        <f>IF(Inputs!$B$58="Yes",IF(Sensitivity_Engine!MJ28="Rent the Frontier",Sensitivity_Engine!MF28,IF(Sensitivity_Engine!MJ28="Own the Frontier",Sensitivity_Engine!MG28,Sensitivity_Engine!MH28)),"Off")</f>
        <v/>
      </c>
    </row>
    <row r="32"/>
    <row r="33">
      <c r="A33" s="29" t="inlineStr">
        <is>
          <t>Swing in present-value TCO (High case minus Low case)</t>
        </is>
      </c>
    </row>
    <row r="34">
      <c r="A34" s="48" t="inlineStr">
        <is>
          <t>Driver</t>
        </is>
      </c>
      <c r="F34" s="48" t="inlineStr">
        <is>
          <t>Rent swing</t>
        </is>
      </c>
      <c r="G34" s="48" t="inlineStr">
        <is>
          <t>Own swing</t>
        </is>
      </c>
      <c r="H34" s="48" t="inlineStr">
        <is>
          <t>Hybrid swing</t>
        </is>
      </c>
      <c r="I34" s="48" t="inlineStr">
        <is>
          <t>Path changes?</t>
        </is>
      </c>
    </row>
    <row r="35">
      <c r="A35" s="25">
        <f>A8</f>
        <v/>
      </c>
      <c r="F35" s="45">
        <f>F9-F8</f>
        <v/>
      </c>
      <c r="G35" s="45">
        <f>G9-G8</f>
        <v/>
      </c>
      <c r="H35" s="45">
        <f>H9-H8</f>
        <v/>
      </c>
      <c r="I35" s="25">
        <f>IF(OR(I8&lt;&gt;I$7,I9&lt;&gt;I$7),"Yes","No")</f>
        <v/>
      </c>
    </row>
    <row r="36">
      <c r="A36" s="25">
        <f>A10</f>
        <v/>
      </c>
      <c r="F36" s="45">
        <f>F11-F10</f>
        <v/>
      </c>
      <c r="G36" s="45">
        <f>G11-G10</f>
        <v/>
      </c>
      <c r="H36" s="45">
        <f>H11-H10</f>
        <v/>
      </c>
      <c r="I36" s="25">
        <f>IF(OR(I10&lt;&gt;I$7,I11&lt;&gt;I$7),"Yes","No")</f>
        <v/>
      </c>
    </row>
    <row r="37">
      <c r="A37" s="25">
        <f>A12</f>
        <v/>
      </c>
      <c r="F37" s="45">
        <f>F13-F12</f>
        <v/>
      </c>
      <c r="G37" s="45">
        <f>G13-G12</f>
        <v/>
      </c>
      <c r="H37" s="45">
        <f>H13-H12</f>
        <v/>
      </c>
      <c r="I37" s="25">
        <f>IF(OR(I12&lt;&gt;I$7,I13&lt;&gt;I$7),"Yes","No")</f>
        <v/>
      </c>
    </row>
    <row r="38">
      <c r="A38" s="25">
        <f>A14</f>
        <v/>
      </c>
      <c r="F38" s="45">
        <f>F15-F14</f>
        <v/>
      </c>
      <c r="G38" s="45">
        <f>G15-G14</f>
        <v/>
      </c>
      <c r="H38" s="45">
        <f>H15-H14</f>
        <v/>
      </c>
      <c r="I38" s="25">
        <f>IF(OR(I14&lt;&gt;I$7,I15&lt;&gt;I$7),"Yes","No")</f>
        <v/>
      </c>
    </row>
    <row r="39">
      <c r="A39" s="25">
        <f>A16</f>
        <v/>
      </c>
      <c r="F39" s="45">
        <f>F17-F16</f>
        <v/>
      </c>
      <c r="G39" s="45">
        <f>G17-G16</f>
        <v/>
      </c>
      <c r="H39" s="45">
        <f>H17-H16</f>
        <v/>
      </c>
      <c r="I39" s="25">
        <f>IF(OR(I16&lt;&gt;I$7,I17&lt;&gt;I$7),"Yes","No")</f>
        <v/>
      </c>
    </row>
    <row r="40">
      <c r="A40" s="25">
        <f>A18</f>
        <v/>
      </c>
      <c r="F40" s="45">
        <f>F19-F18</f>
        <v/>
      </c>
      <c r="G40" s="45">
        <f>G19-G18</f>
        <v/>
      </c>
      <c r="H40" s="45">
        <f>H19-H18</f>
        <v/>
      </c>
      <c r="I40" s="25">
        <f>IF(OR(I18&lt;&gt;I$7,I19&lt;&gt;I$7),"Yes","No")</f>
        <v/>
      </c>
    </row>
    <row r="41">
      <c r="A41" s="25">
        <f>A20</f>
        <v/>
      </c>
      <c r="F41" s="45">
        <f>F21-F20</f>
        <v/>
      </c>
      <c r="G41" s="45">
        <f>G21-G20</f>
        <v/>
      </c>
      <c r="H41" s="45">
        <f>H21-H20</f>
        <v/>
      </c>
      <c r="I41" s="25">
        <f>IF(OR(I20&lt;&gt;I$7,I21&lt;&gt;I$7),"Yes","No")</f>
        <v/>
      </c>
    </row>
    <row r="42">
      <c r="A42" s="25">
        <f>A22</f>
        <v/>
      </c>
      <c r="F42" s="45">
        <f>F23-F22</f>
        <v/>
      </c>
      <c r="G42" s="45">
        <f>G23-G22</f>
        <v/>
      </c>
      <c r="H42" s="45">
        <f>H23-H22</f>
        <v/>
      </c>
      <c r="I42" s="25">
        <f>IF(OR(I22&lt;&gt;I$7,I23&lt;&gt;I$7),"Yes","No")</f>
        <v/>
      </c>
    </row>
    <row r="43">
      <c r="A43" s="25">
        <f>A24</f>
        <v/>
      </c>
      <c r="F43" s="45">
        <f>F25-F24</f>
        <v/>
      </c>
      <c r="G43" s="45">
        <f>G25-G24</f>
        <v/>
      </c>
      <c r="H43" s="45">
        <f>H25-H24</f>
        <v/>
      </c>
      <c r="I43" s="25">
        <f>IF(OR(I24&lt;&gt;I$7,I25&lt;&gt;I$7),"Yes","No")</f>
        <v/>
      </c>
    </row>
    <row r="44">
      <c r="A44" s="25">
        <f>A26</f>
        <v/>
      </c>
      <c r="F44" s="45">
        <f>F27-F26</f>
        <v/>
      </c>
      <c r="G44" s="45">
        <f>G27-G26</f>
        <v/>
      </c>
      <c r="H44" s="45">
        <f>H27-H26</f>
        <v/>
      </c>
      <c r="I44" s="25">
        <f>IF(OR(I26&lt;&gt;I$7,I27&lt;&gt;I$7),"Yes","No")</f>
        <v/>
      </c>
    </row>
    <row r="45">
      <c r="A45" s="25">
        <f>A28</f>
        <v/>
      </c>
      <c r="F45" s="45">
        <f>F29-F28</f>
        <v/>
      </c>
      <c r="G45" s="45">
        <f>G29-G28</f>
        <v/>
      </c>
      <c r="H45" s="45">
        <f>H29-H28</f>
        <v/>
      </c>
      <c r="I45" s="25">
        <f>IF(OR(I28&lt;&gt;I$7,I29&lt;&gt;I$7),"Yes","No")</f>
        <v/>
      </c>
    </row>
    <row r="46">
      <c r="A46" s="25">
        <f>A30</f>
        <v/>
      </c>
      <c r="F46" s="45">
        <f>F31-F30</f>
        <v/>
      </c>
      <c r="G46" s="45">
        <f>G31-G30</f>
        <v/>
      </c>
      <c r="H46" s="45">
        <f>H31-H30</f>
        <v/>
      </c>
      <c r="I46" s="25">
        <f>IF(OR(I30&lt;&gt;I$7,I31&lt;&gt;I$7),"Yes","No")</f>
        <v/>
      </c>
    </row>
    <row r="47"/>
    <row r="48">
      <c r="A48" s="29" t="inlineStr">
        <is>
          <t>Guidance</t>
        </is>
      </c>
    </row>
    <row r="49">
      <c r="A49" s="31" t="inlineStr">
        <is>
          <t>Ownership typically becomes attractive when sustained utilization can stay above break-even and below the ~65-70% that is realistic in practice, residual value is not near zero, the engineering team is efficient, and a material portion of volume is routine or data-sensitive. Rental wins at lower or highly variable volume, with rapid API price declines, or when frontier capability is required for a large share of work. Hybrid is often the practical optimum for most enterprises. Peak-to-average and N+1 cap utilization: owned capacity sized for peak can never average more than 1 / (peak-to-average x N+1).</t>
        </is>
      </c>
    </row>
    <row r="50"/>
    <row r="51"/>
    <row r="52"/>
    <row r="53"/>
  </sheetData>
  <mergeCells count="5">
    <mergeCell ref="A4:K4"/>
    <mergeCell ref="A3:K3"/>
    <mergeCell ref="A1:K1"/>
    <mergeCell ref="A49:K53"/>
    <mergeCell ref="A33:J33"/>
  </mergeCell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7.xml><?xml version="1.0" encoding="utf-8"?>
<worksheet xmlns="http://schemas.openxmlformats.org/spreadsheetml/2006/main">
  <sheetPr filterMode="0">
    <tabColor rgb="FF1F4E79"/>
    <outlinePr summaryBelow="1" summaryRight="1"/>
    <pageSetUpPr fitToPage="1"/>
  </sheetPr>
  <dimension ref="A1:D28"/>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10" customWidth="1" style="25" min="1" max="1"/>
  </cols>
  <sheetData>
    <row r="1" ht="15" customHeight="1" s="26">
      <c r="A1" s="36" t="inlineStr">
        <is>
          <t>NOTES, SOURCES &amp; LIMITATIONS</t>
        </is>
      </c>
    </row>
    <row r="2"/>
    <row r="3" ht="15" customHeight="1" s="26">
      <c r="A3" s="29" t="inlineStr">
        <is>
          <t>Model Philosophy</t>
        </is>
      </c>
    </row>
    <row r="4" ht="45" customHeight="1" s="26">
      <c r="A4" s="32" t="inlineStr">
        <is>
          <t>This model focuses on fully-loaded TCO rather than sticker price or token burn alone. Industry analyses consistently show that hardware CapEx is only 25-40% of owned AI infrastructure TCO; power, facilities, staffing, and maintenance dominate. Utilization and residual value are the two largest swing factors.</t>
        </is>
      </c>
    </row>
    <row r="5"/>
    <row r="6" ht="15" customHeight="1" s="26">
      <c r="A6" s="29" t="inlineStr">
        <is>
          <t>Depreciation &amp; Residual</t>
        </is>
      </c>
    </row>
    <row r="7" ht="45" customHeight="1" s="26">
      <c r="A7" s="32" t="inlineStr">
        <is>
          <t>AI GPU residual values are highly uncertain and generation-dependent. Some 2026 data shows slower depreciation than expected due to strong rental demand; other analyses use aggressive 3-year write-downs. Users should stress-test residual % aggressively.</t>
        </is>
      </c>
    </row>
    <row r="8"/>
    <row r="9" ht="15" customHeight="1" s="26">
      <c r="A9" s="29" t="inlineStr">
        <is>
          <t>Staffing</t>
        </is>
      </c>
    </row>
    <row r="10" ht="45" customHeight="1" s="26">
      <c r="A10" s="32" t="inlineStr">
        <is>
          <t>MLOps, platform engineering, and model operations staff are frequently the largest hidden cost of ownership. The model treats this as a fully-loaded FTE cost.</t>
        </is>
      </c>
    </row>
    <row r="11"/>
    <row r="12" ht="15" customHeight="1" s="26">
      <c r="A12" s="29" t="inlineStr">
        <is>
          <t>Productivity Value</t>
        </is>
      </c>
    </row>
    <row r="13" ht="45" customHeight="1" s="26">
      <c r="A13" s="32" t="inlineStr">
        <is>
          <t>Agent multipliers and capture rates are estimates. Realized gains depend on process redesign, supervision overhead, and quality of orchestration. The optional value view is illustrative, not a guaranteed ROI.</t>
        </is>
      </c>
    </row>
    <row r="14"/>
    <row r="15" ht="15" customHeight="1" s="26">
      <c r="A15" s="29" t="inlineStr">
        <is>
          <t>Hybrid Logic</t>
        </is>
      </c>
    </row>
    <row r="16" ht="45" customHeight="1" s="26">
      <c r="A16" s="32" t="inlineStr">
        <is>
          <t>Hybrid builds an owned cluster sized for the owned share of volume and sends the rest to the API. By default the owned share is the routine plus sensitive share of the workload mix (frontier-critical work goes to APIs); a manual override is available on Inputs. Hybrid carries both sets of fixed costs (API platform and the owned-side team and licenses) plus a one-time integration premium.</t>
        </is>
      </c>
    </row>
    <row r="17"/>
    <row r="18" ht="15" customHeight="1" s="26">
      <c r="A18" s="29" t="inlineStr">
        <is>
          <t>Utilization Threshold &amp; Capacity Sizing</t>
        </is>
      </c>
    </row>
    <row r="19" ht="45" customHeight="1" s="26">
      <c r="A19" s="32" t="inlineStr">
        <is>
          <t>Owned capacity is sized in whole GPUs for peak demand (average x peak-to-average) times the N+1 factor, so average utilization can never exceed 1 / (peak-to-average x N+1). Break-even utilization is the average utilization at which the owned cluster's Year 1 recurring cost equals what the same tokens would cost on the API. Multiple independent TCO studies converge on ~60-70% sustained utilization as a practical ceiling; peak-to-average ratios above 3:1 make high utilization difficult.</t>
        </is>
      </c>
    </row>
    <row r="20"/>
    <row r="21" ht="15" customHeight="1" s="26">
      <c r="A21" s="29" t="inlineStr">
        <is>
          <t>Sources Informing Defaults</t>
        </is>
      </c>
    </row>
    <row r="22" ht="45" customHeight="1" s="26">
      <c r="A22" s="32" t="inlineStr">
        <is>
          <t>Synthesized from 2026 analyses including Epoch AI datacenter TCO, SemiAnalysis-style models, GPUaaS/Introl cluster TCO breakdowns, residual value studies (H100/B200), Anthropic agent runtime data, and multiple build-vs-buy / rent-vs-own frameworks. Defaults are illustrative mid-market starting points only.</t>
        </is>
      </c>
    </row>
    <row r="23"/>
    <row r="24" ht="15" customHeight="1" s="26">
      <c r="A24" s="29" t="inlineStr">
        <is>
          <t>Limitations &amp; Method</t>
        </is>
      </c>
    </row>
    <row r="25" ht="45" customHeight="1" s="26">
      <c r="A25" s="32" t="inlineStr">
        <is>
          <t>Present value uses a cash basis: CapEx and one-time costs at the start of each year, operating costs at the end, residual value recovered when GPUs are refreshed, and remaining book value credited at the end of the horizon. Nominal totals use straight-line depreciation. Does not model data egress, compliance audit costs, model fine-tuning compute separately, or multi-cloud complexity. Does not replace vendor quotes or internal pilot data. Rapid technology change means assumptions should be refreshed regularly.</t>
        </is>
      </c>
    </row>
    <row r="26"/>
    <row r="27" ht="15" customHeight="1" s="26">
      <c r="A27" s="29" t="inlineStr">
        <is>
          <t>Recommended Next Steps for Users</t>
        </is>
      </c>
    </row>
    <row r="28" ht="45" customHeight="1" s="26">
      <c r="A28" s="32" t="inlineStr">
        <is>
          <t>1) Populate with your actual or piloted token volumes and quotes. 2) Run sensitivity on residual value and utilization. 3) Align hybrid split with data classification and workload criticality. 4) Stress-test engineering headcount. 5) Re-run annually as pricing and hardware generations evolve.</t>
        </is>
      </c>
    </row>
  </sheetData>
  <mergeCells count="19">
    <mergeCell ref="A22:D22"/>
    <mergeCell ref="A4:D4"/>
    <mergeCell ref="A19:D19"/>
    <mergeCell ref="A10:D10"/>
    <mergeCell ref="A28:D28"/>
    <mergeCell ref="A13:D13"/>
    <mergeCell ref="A9:D9"/>
    <mergeCell ref="A15:D15"/>
    <mergeCell ref="A24:D24"/>
    <mergeCell ref="A1:D1"/>
    <mergeCell ref="A6:D6"/>
    <mergeCell ref="A7:D7"/>
    <mergeCell ref="A25:D25"/>
    <mergeCell ref="A16:D16"/>
    <mergeCell ref="A18:D18"/>
    <mergeCell ref="A27:D27"/>
    <mergeCell ref="A12:D12"/>
    <mergeCell ref="A3:D3"/>
    <mergeCell ref="A21:D21"/>
  </mergeCell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8.xml><?xml version="1.0" encoding="utf-8"?>
<worksheet xmlns="http://schemas.openxmlformats.org/spreadsheetml/2006/main">
  <sheetPr>
    <tabColor rgb="FF808080"/>
    <outlinePr summaryBelow="1" summaryRight="1"/>
    <pageSetUpPr/>
  </sheetPr>
  <dimension ref="A1:MK28"/>
  <sheetViews>
    <sheetView workbookViewId="0">
      <selection activeCell="A1" sqref="A1"/>
    </sheetView>
  </sheetViews>
  <sheetFormatPr baseColWidth="8" defaultRowHeight="15"/>
  <sheetData>
    <row r="1">
      <c r="A1" s="36" t="inlineStr">
        <is>
          <t>SENSITIVITY ENGINE (all formulas, do not edit). One row per scenario on the Sensitivity sheet.</t>
        </is>
      </c>
    </row>
    <row r="2"/>
    <row r="3">
      <c r="A3" s="48" t="inlineStr">
        <is>
          <t>Scenario</t>
        </is>
      </c>
      <c r="B3" s="48" t="inlineStr">
        <is>
          <t>p:ics</t>
        </is>
      </c>
      <c r="C3" s="48" t="inlineStr">
        <is>
          <t>p:iccost</t>
        </is>
      </c>
      <c r="D3" s="48" t="inlineStr">
        <is>
          <t>p:mult</t>
        </is>
      </c>
      <c r="E3" s="48" t="inlineStr">
        <is>
          <t>p:cap</t>
        </is>
      </c>
      <c r="F3" s="48" t="inlineStr">
        <is>
          <t>p:fr</t>
        </is>
      </c>
      <c r="G3" s="48" t="inlineStr">
        <is>
          <t>p:rt</t>
        </is>
      </c>
      <c r="H3" s="48" t="inlineStr">
        <is>
          <t>p:se</t>
        </is>
      </c>
      <c r="I3" s="48" t="inlineStr">
        <is>
          <t>p:method</t>
        </is>
      </c>
      <c r="J3" s="48" t="inlineStr">
        <is>
          <t>p:direct</t>
        </is>
      </c>
      <c r="K3" s="48" t="inlineStr">
        <is>
          <t>p:tph</t>
        </is>
      </c>
      <c r="L3" s="48" t="inlineStr">
        <is>
          <t>p:hrs</t>
        </is>
      </c>
      <c r="M3" s="48" t="inlineStr">
        <is>
          <t>p:p2a</t>
        </is>
      </c>
      <c r="N3" s="48" t="inlineStr">
        <is>
          <t>p:g</t>
        </is>
      </c>
      <c r="O3" s="48" t="inlineStr">
        <is>
          <t>p:api</t>
        </is>
      </c>
      <c r="P3" s="48" t="inlineStr">
        <is>
          <t>p:decline</t>
        </is>
      </c>
      <c r="Q3" s="48" t="inlineStr">
        <is>
          <t>p:cache</t>
        </is>
      </c>
      <c r="R3" s="48" t="inlineStr">
        <is>
          <t>p:rsetup</t>
        </is>
      </c>
      <c r="S3" s="48" t="inlineStr">
        <is>
          <t>p:platform</t>
        </is>
      </c>
      <c r="T3" s="48" t="inlineStr">
        <is>
          <t>p:rfte</t>
        </is>
      </c>
      <c r="U3" s="48" t="inlineStr">
        <is>
          <t>p:rftecost</t>
        </is>
      </c>
      <c r="V3" s="48" t="inlineStr">
        <is>
          <t>p:capex_per_gpu</t>
        </is>
      </c>
      <c r="W3" s="48" t="inlineStr">
        <is>
          <t>p:life</t>
        </is>
      </c>
      <c r="X3" s="48" t="inlineStr">
        <is>
          <t>p:res</t>
        </is>
      </c>
      <c r="Y3" s="48" t="inlineStr">
        <is>
          <t>p:kw</t>
        </is>
      </c>
      <c r="Z3" s="48" t="inlineStr">
        <is>
          <t>p:pue</t>
        </is>
      </c>
      <c r="AA3" s="48" t="inlineStr">
        <is>
          <t>p:kwh</t>
        </is>
      </c>
      <c r="AB3" s="48" t="inlineStr">
        <is>
          <t>p:colo</t>
        </is>
      </c>
      <c r="AC3" s="48" t="inlineStr">
        <is>
          <t>p:colofix</t>
        </is>
      </c>
      <c r="AD3" s="48" t="inlineStr">
        <is>
          <t>p:maint</t>
        </is>
      </c>
      <c r="AE3" s="48" t="inlineStr">
        <is>
          <t>p:lic</t>
        </is>
      </c>
      <c r="AF3" s="48" t="inlineStr">
        <is>
          <t>p:ofte</t>
        </is>
      </c>
      <c r="AG3" s="48" t="inlineStr">
        <is>
          <t>p:oftecost</t>
        </is>
      </c>
      <c r="AH3" s="48" t="inlineStr">
        <is>
          <t>p:obuild</t>
        </is>
      </c>
      <c r="AI3" s="48" t="inlineStr">
        <is>
          <t>p:n1</t>
        </is>
      </c>
      <c r="AJ3" s="48" t="inlineStr">
        <is>
          <t>p:override</t>
        </is>
      </c>
      <c r="AK3" s="48" t="inlineStr">
        <is>
          <t>p:hprem</t>
        </is>
      </c>
      <c r="AL3" s="48" t="inlineStr">
        <is>
          <t>p:hor</t>
        </is>
      </c>
      <c r="AM3" s="48" t="inlineStr">
        <is>
          <t>p:r</t>
        </is>
      </c>
      <c r="AN3" s="48" t="inlineStr">
        <is>
          <t>p:infl</t>
        </is>
      </c>
      <c r="AO3" s="48" t="inlineStr">
        <is>
          <t>p:prod</t>
        </is>
      </c>
      <c r="AP3" s="48" t="inlineStr">
        <is>
          <t>p:thr</t>
        </is>
      </c>
      <c r="AQ3" s="48" t="inlineStr">
        <is>
          <t>p:hfte</t>
        </is>
      </c>
      <c r="AR3" s="48" t="inlineStr">
        <is>
          <t>p:sfac</t>
        </is>
      </c>
      <c r="AS3" s="48" t="inlineStr">
        <is>
          <t>yr1</t>
        </is>
      </c>
      <c r="AT3" s="48" t="inlineStr">
        <is>
          <t>yr2</t>
        </is>
      </c>
      <c r="AU3" s="48" t="inlineStr">
        <is>
          <t>yr3</t>
        </is>
      </c>
      <c r="AV3" s="48" t="inlineStr">
        <is>
          <t>yr4</t>
        </is>
      </c>
      <c r="AW3" s="48" t="inlineStr">
        <is>
          <t>yr5</t>
        </is>
      </c>
      <c r="AX3" s="48" t="inlineStr">
        <is>
          <t>H</t>
        </is>
      </c>
      <c r="AY3" s="48" t="inlineStr">
        <is>
          <t>L</t>
        </is>
      </c>
      <c r="AZ3" s="48" t="inlineStr">
        <is>
          <t>inH1</t>
        </is>
      </c>
      <c r="BA3" s="48" t="inlineStr">
        <is>
          <t>inH2</t>
        </is>
      </c>
      <c r="BB3" s="48" t="inlineStr">
        <is>
          <t>inH3</t>
        </is>
      </c>
      <c r="BC3" s="48" t="inlineStr">
        <is>
          <t>inH4</t>
        </is>
      </c>
      <c r="BD3" s="48" t="inlineStr">
        <is>
          <t>inH5</t>
        </is>
      </c>
      <c r="BE3" s="48" t="inlineStr">
        <is>
          <t>inf1</t>
        </is>
      </c>
      <c r="BF3" s="48" t="inlineStr">
        <is>
          <t>inf2</t>
        </is>
      </c>
      <c r="BG3" s="48" t="inlineStr">
        <is>
          <t>inf3</t>
        </is>
      </c>
      <c r="BH3" s="48" t="inlineStr">
        <is>
          <t>inf4</t>
        </is>
      </c>
      <c r="BI3" s="48" t="inlineStr">
        <is>
          <t>inf5</t>
        </is>
      </c>
      <c r="BJ3" s="48" t="inlineStr">
        <is>
          <t>dfs1</t>
        </is>
      </c>
      <c r="BK3" s="48" t="inlineStr">
        <is>
          <t>dfs2</t>
        </is>
      </c>
      <c r="BL3" s="48" t="inlineStr">
        <is>
          <t>dfs3</t>
        </is>
      </c>
      <c r="BM3" s="48" t="inlineStr">
        <is>
          <t>dfs4</t>
        </is>
      </c>
      <c r="BN3" s="48" t="inlineStr">
        <is>
          <t>dfs5</t>
        </is>
      </c>
      <c r="BO3" s="48" t="inlineStr">
        <is>
          <t>dfe1</t>
        </is>
      </c>
      <c r="BP3" s="48" t="inlineStr">
        <is>
          <t>dfe2</t>
        </is>
      </c>
      <c r="BQ3" s="48" t="inlineStr">
        <is>
          <t>dfe3</t>
        </is>
      </c>
      <c r="BR3" s="48" t="inlineStr">
        <is>
          <t>dfe4</t>
        </is>
      </c>
      <c r="BS3" s="48" t="inlineStr">
        <is>
          <t>dfe5</t>
        </is>
      </c>
      <c r="BT3" s="48" t="inlineStr">
        <is>
          <t>m</t>
        </is>
      </c>
      <c r="BU3" s="48" t="inlineStr">
        <is>
          <t>T1</t>
        </is>
      </c>
      <c r="BV3" s="48" t="inlineStr">
        <is>
          <t>T2</t>
        </is>
      </c>
      <c r="BW3" s="48" t="inlineStr">
        <is>
          <t>T3</t>
        </is>
      </c>
      <c r="BX3" s="48" t="inlineStr">
        <is>
          <t>T4</t>
        </is>
      </c>
      <c r="BY3" s="48" t="inlineStr">
        <is>
          <t>T5</t>
        </is>
      </c>
      <c r="BZ3" s="48" t="inlineStr">
        <is>
          <t>peak1</t>
        </is>
      </c>
      <c r="CA3" s="48" t="inlineStr">
        <is>
          <t>peak2</t>
        </is>
      </c>
      <c r="CB3" s="48" t="inlineStr">
        <is>
          <t>peak3</t>
        </is>
      </c>
      <c r="CC3" s="48" t="inlineStr">
        <is>
          <t>peak4</t>
        </is>
      </c>
      <c r="CD3" s="48" t="inlineStr">
        <is>
          <t>peak5</t>
        </is>
      </c>
      <c r="CE3" s="48" t="inlineStr">
        <is>
          <t>reqtps1</t>
        </is>
      </c>
      <c r="CF3" s="48" t="inlineStr">
        <is>
          <t>reqtps2</t>
        </is>
      </c>
      <c r="CG3" s="48" t="inlineStr">
        <is>
          <t>reqtps3</t>
        </is>
      </c>
      <c r="CH3" s="48" t="inlineStr">
        <is>
          <t>reqtps4</t>
        </is>
      </c>
      <c r="CI3" s="48" t="inlineStr">
        <is>
          <t>reqtps5</t>
        </is>
      </c>
      <c r="CJ3" s="48" t="inlineStr">
        <is>
          <t>price1</t>
        </is>
      </c>
      <c r="CK3" s="48" t="inlineStr">
        <is>
          <t>price2</t>
        </is>
      </c>
      <c r="CL3" s="48" t="inlineStr">
        <is>
          <t>price3</t>
        </is>
      </c>
      <c r="CM3" s="48" t="inlineStr">
        <is>
          <t>price4</t>
        </is>
      </c>
      <c r="CN3" s="48" t="inlineStr">
        <is>
          <t>price5</t>
        </is>
      </c>
      <c r="CO3" s="48" t="inlineStr">
        <is>
          <t>rtok1</t>
        </is>
      </c>
      <c r="CP3" s="48" t="inlineStr">
        <is>
          <t>rtok2</t>
        </is>
      </c>
      <c r="CQ3" s="48" t="inlineStr">
        <is>
          <t>rtok3</t>
        </is>
      </c>
      <c r="CR3" s="48" t="inlineStr">
        <is>
          <t>rtok4</t>
        </is>
      </c>
      <c r="CS3" s="48" t="inlineStr">
        <is>
          <t>rtok5</t>
        </is>
      </c>
      <c r="CT3" s="48" t="inlineStr">
        <is>
          <t>rfix1</t>
        </is>
      </c>
      <c r="CU3" s="48" t="inlineStr">
        <is>
          <t>rfix2</t>
        </is>
      </c>
      <c r="CV3" s="48" t="inlineStr">
        <is>
          <t>rfix3</t>
        </is>
      </c>
      <c r="CW3" s="48" t="inlineStr">
        <is>
          <t>rfix4</t>
        </is>
      </c>
      <c r="CX3" s="48" t="inlineStr">
        <is>
          <t>rfix5</t>
        </is>
      </c>
      <c r="CY3" s="48" t="inlineStr">
        <is>
          <t>rone1</t>
        </is>
      </c>
      <c r="CZ3" s="48" t="inlineStr">
        <is>
          <t>rone2</t>
        </is>
      </c>
      <c r="DA3" s="48" t="inlineStr">
        <is>
          <t>rone3</t>
        </is>
      </c>
      <c r="DB3" s="48" t="inlineStr">
        <is>
          <t>rone4</t>
        </is>
      </c>
      <c r="DC3" s="48" t="inlineStr">
        <is>
          <t>rone5</t>
        </is>
      </c>
      <c r="DD3" s="48" t="inlineStr">
        <is>
          <t>rtot1</t>
        </is>
      </c>
      <c r="DE3" s="48" t="inlineStr">
        <is>
          <t>rtot2</t>
        </is>
      </c>
      <c r="DF3" s="48" t="inlineStr">
        <is>
          <t>rtot3</t>
        </is>
      </c>
      <c r="DG3" s="48" t="inlineStr">
        <is>
          <t>rtot4</t>
        </is>
      </c>
      <c r="DH3" s="48" t="inlineStr">
        <is>
          <t>rtot5</t>
        </is>
      </c>
      <c r="DI3" s="48" t="inlineStr">
        <is>
          <t>rcs1</t>
        </is>
      </c>
      <c r="DJ3" s="48" t="inlineStr">
        <is>
          <t>rcs2</t>
        </is>
      </c>
      <c r="DK3" s="48" t="inlineStr">
        <is>
          <t>rcs3</t>
        </is>
      </c>
      <c r="DL3" s="48" t="inlineStr">
        <is>
          <t>rcs4</t>
        </is>
      </c>
      <c r="DM3" s="48" t="inlineStr">
        <is>
          <t>rcs5</t>
        </is>
      </c>
      <c r="DN3" s="48" t="inlineStr">
        <is>
          <t>rce1</t>
        </is>
      </c>
      <c r="DO3" s="48" t="inlineStr">
        <is>
          <t>rce2</t>
        </is>
      </c>
      <c r="DP3" s="48" t="inlineStr">
        <is>
          <t>rce3</t>
        </is>
      </c>
      <c r="DQ3" s="48" t="inlineStr">
        <is>
          <t>rce4</t>
        </is>
      </c>
      <c r="DR3" s="48" t="inlineStr">
        <is>
          <t>rce5</t>
        </is>
      </c>
      <c r="DS3" s="48" t="inlineStr">
        <is>
          <t>rtv</t>
        </is>
      </c>
      <c r="DT3" s="48" t="inlineStr">
        <is>
          <t>rnom</t>
        </is>
      </c>
      <c r="DU3" s="48" t="inlineStr">
        <is>
          <t>rt3</t>
        </is>
      </c>
      <c r="DV3" s="48" t="inlineStr">
        <is>
          <t>rt5</t>
        </is>
      </c>
      <c r="DW3" s="48" t="inlineStr">
        <is>
          <t>rpv</t>
        </is>
      </c>
      <c r="DX3" s="48" t="inlineStr">
        <is>
          <t>oreq1</t>
        </is>
      </c>
      <c r="DY3" s="48" t="inlineStr">
        <is>
          <t>oreq2</t>
        </is>
      </c>
      <c r="DZ3" s="48" t="inlineStr">
        <is>
          <t>oreq3</t>
        </is>
      </c>
      <c r="EA3" s="48" t="inlineStr">
        <is>
          <t>oreq4</t>
        </is>
      </c>
      <c r="EB3" s="48" t="inlineStr">
        <is>
          <t>oreq5</t>
        </is>
      </c>
      <c r="EC3" s="48" t="inlineStr">
        <is>
          <t>oinst1</t>
        </is>
      </c>
      <c r="ED3" s="48" t="inlineStr">
        <is>
          <t>oinst2</t>
        </is>
      </c>
      <c r="EE3" s="48" t="inlineStr">
        <is>
          <t>oinst3</t>
        </is>
      </c>
      <c r="EF3" s="48" t="inlineStr">
        <is>
          <t>oinst4</t>
        </is>
      </c>
      <c r="EG3" s="48" t="inlineStr">
        <is>
          <t>oinst5</t>
        </is>
      </c>
      <c r="EH3" s="48" t="inlineStr">
        <is>
          <t>onew1</t>
        </is>
      </c>
      <c r="EI3" s="48" t="inlineStr">
        <is>
          <t>onew2</t>
        </is>
      </c>
      <c r="EJ3" s="48" t="inlineStr">
        <is>
          <t>onew3</t>
        </is>
      </c>
      <c r="EK3" s="48" t="inlineStr">
        <is>
          <t>onew4</t>
        </is>
      </c>
      <c r="EL3" s="48" t="inlineStr">
        <is>
          <t>onew5</t>
        </is>
      </c>
      <c r="EM3" s="48" t="inlineStr">
        <is>
          <t>orepl1</t>
        </is>
      </c>
      <c r="EN3" s="48" t="inlineStr">
        <is>
          <t>orepl2</t>
        </is>
      </c>
      <c r="EO3" s="48" t="inlineStr">
        <is>
          <t>orepl3</t>
        </is>
      </c>
      <c r="EP3" s="48" t="inlineStr">
        <is>
          <t>orepl4</t>
        </is>
      </c>
      <c r="EQ3" s="48" t="inlineStr">
        <is>
          <t>orepl5</t>
        </is>
      </c>
      <c r="ER3" s="48" t="inlineStr">
        <is>
          <t>obuy1</t>
        </is>
      </c>
      <c r="ES3" s="48" t="inlineStr">
        <is>
          <t>obuy2</t>
        </is>
      </c>
      <c r="ET3" s="48" t="inlineStr">
        <is>
          <t>obuy3</t>
        </is>
      </c>
      <c r="EU3" s="48" t="inlineStr">
        <is>
          <t>obuy4</t>
        </is>
      </c>
      <c r="EV3" s="48" t="inlineStr">
        <is>
          <t>obuy5</t>
        </is>
      </c>
      <c r="EW3" s="48" t="inlineStr">
        <is>
          <t>ocapex1</t>
        </is>
      </c>
      <c r="EX3" s="48" t="inlineStr">
        <is>
          <t>ocapex2</t>
        </is>
      </c>
      <c r="EY3" s="48" t="inlineStr">
        <is>
          <t>ocapex3</t>
        </is>
      </c>
      <c r="EZ3" s="48" t="inlineStr">
        <is>
          <t>ocapex4</t>
        </is>
      </c>
      <c r="FA3" s="48" t="inlineStr">
        <is>
          <t>ocapex5</t>
        </is>
      </c>
      <c r="FB3" s="48" t="inlineStr">
        <is>
          <t>oresid1</t>
        </is>
      </c>
      <c r="FC3" s="48" t="inlineStr">
        <is>
          <t>oresid2</t>
        </is>
      </c>
      <c r="FD3" s="48" t="inlineStr">
        <is>
          <t>oresid3</t>
        </is>
      </c>
      <c r="FE3" s="48" t="inlineStr">
        <is>
          <t>oresid4</t>
        </is>
      </c>
      <c r="FF3" s="48" t="inlineStr">
        <is>
          <t>oresid5</t>
        </is>
      </c>
      <c r="FG3" s="48" t="inlineStr">
        <is>
          <t>odepr1</t>
        </is>
      </c>
      <c r="FH3" s="48" t="inlineStr">
        <is>
          <t>odepr2</t>
        </is>
      </c>
      <c r="FI3" s="48" t="inlineStr">
        <is>
          <t>odepr3</t>
        </is>
      </c>
      <c r="FJ3" s="48" t="inlineStr">
        <is>
          <t>odepr4</t>
        </is>
      </c>
      <c r="FK3" s="48" t="inlineStr">
        <is>
          <t>odepr5</t>
        </is>
      </c>
      <c r="FL3" s="48" t="inlineStr">
        <is>
          <t>opower1</t>
        </is>
      </c>
      <c r="FM3" s="48" t="inlineStr">
        <is>
          <t>opower2</t>
        </is>
      </c>
      <c r="FN3" s="48" t="inlineStr">
        <is>
          <t>opower3</t>
        </is>
      </c>
      <c r="FO3" s="48" t="inlineStr">
        <is>
          <t>opower4</t>
        </is>
      </c>
      <c r="FP3" s="48" t="inlineStr">
        <is>
          <t>opower5</t>
        </is>
      </c>
      <c r="FQ3" s="48" t="inlineStr">
        <is>
          <t>ocolo1</t>
        </is>
      </c>
      <c r="FR3" s="48" t="inlineStr">
        <is>
          <t>ocolo2</t>
        </is>
      </c>
      <c r="FS3" s="48" t="inlineStr">
        <is>
          <t>ocolo3</t>
        </is>
      </c>
      <c r="FT3" s="48" t="inlineStr">
        <is>
          <t>ocolo4</t>
        </is>
      </c>
      <c r="FU3" s="48" t="inlineStr">
        <is>
          <t>ocolo5</t>
        </is>
      </c>
      <c r="FV3" s="48" t="inlineStr">
        <is>
          <t>omaint1</t>
        </is>
      </c>
      <c r="FW3" s="48" t="inlineStr">
        <is>
          <t>omaint2</t>
        </is>
      </c>
      <c r="FX3" s="48" t="inlineStr">
        <is>
          <t>omaint3</t>
        </is>
      </c>
      <c r="FY3" s="48" t="inlineStr">
        <is>
          <t>omaint4</t>
        </is>
      </c>
      <c r="FZ3" s="48" t="inlineStr">
        <is>
          <t>omaint5</t>
        </is>
      </c>
      <c r="GA3" s="48" t="inlineStr">
        <is>
          <t>osoft1</t>
        </is>
      </c>
      <c r="GB3" s="48" t="inlineStr">
        <is>
          <t>osoft2</t>
        </is>
      </c>
      <c r="GC3" s="48" t="inlineStr">
        <is>
          <t>osoft3</t>
        </is>
      </c>
      <c r="GD3" s="48" t="inlineStr">
        <is>
          <t>osoft4</t>
        </is>
      </c>
      <c r="GE3" s="48" t="inlineStr">
        <is>
          <t>osoft5</t>
        </is>
      </c>
      <c r="GF3" s="48" t="inlineStr">
        <is>
          <t>ostaff1</t>
        </is>
      </c>
      <c r="GG3" s="48" t="inlineStr">
        <is>
          <t>ostaff2</t>
        </is>
      </c>
      <c r="GH3" s="48" t="inlineStr">
        <is>
          <t>ostaff3</t>
        </is>
      </c>
      <c r="GI3" s="48" t="inlineStr">
        <is>
          <t>ostaff4</t>
        </is>
      </c>
      <c r="GJ3" s="48" t="inlineStr">
        <is>
          <t>ostaff5</t>
        </is>
      </c>
      <c r="GK3" s="48" t="inlineStr">
        <is>
          <t>oone1</t>
        </is>
      </c>
      <c r="GL3" s="48" t="inlineStr">
        <is>
          <t>oone2</t>
        </is>
      </c>
      <c r="GM3" s="48" t="inlineStr">
        <is>
          <t>oone3</t>
        </is>
      </c>
      <c r="GN3" s="48" t="inlineStr">
        <is>
          <t>oone4</t>
        </is>
      </c>
      <c r="GO3" s="48" t="inlineStr">
        <is>
          <t>oone5</t>
        </is>
      </c>
      <c r="GP3" s="48" t="inlineStr">
        <is>
          <t>otot1</t>
        </is>
      </c>
      <c r="GQ3" s="48" t="inlineStr">
        <is>
          <t>otot2</t>
        </is>
      </c>
      <c r="GR3" s="48" t="inlineStr">
        <is>
          <t>otot3</t>
        </is>
      </c>
      <c r="GS3" s="48" t="inlineStr">
        <is>
          <t>otot4</t>
        </is>
      </c>
      <c r="GT3" s="48" t="inlineStr">
        <is>
          <t>otot5</t>
        </is>
      </c>
      <c r="GU3" s="48" t="inlineStr">
        <is>
          <t>ocs1</t>
        </is>
      </c>
      <c r="GV3" s="48" t="inlineStr">
        <is>
          <t>ocs2</t>
        </is>
      </c>
      <c r="GW3" s="48" t="inlineStr">
        <is>
          <t>ocs3</t>
        </is>
      </c>
      <c r="GX3" s="48" t="inlineStr">
        <is>
          <t>ocs4</t>
        </is>
      </c>
      <c r="GY3" s="48" t="inlineStr">
        <is>
          <t>ocs5</t>
        </is>
      </c>
      <c r="GZ3" s="48" t="inlineStr">
        <is>
          <t>oce1</t>
        </is>
      </c>
      <c r="HA3" s="48" t="inlineStr">
        <is>
          <t>oce2</t>
        </is>
      </c>
      <c r="HB3" s="48" t="inlineStr">
        <is>
          <t>oce3</t>
        </is>
      </c>
      <c r="HC3" s="48" t="inlineStr">
        <is>
          <t>oce4</t>
        </is>
      </c>
      <c r="HD3" s="48" t="inlineStr">
        <is>
          <t>oce5</t>
        </is>
      </c>
      <c r="HE3" s="48" t="inlineStr">
        <is>
          <t>otv</t>
        </is>
      </c>
      <c r="HF3" s="48" t="inlineStr">
        <is>
          <t>onom</t>
        </is>
      </c>
      <c r="HG3" s="48" t="inlineStr">
        <is>
          <t>ot3</t>
        </is>
      </c>
      <c r="HH3" s="48" t="inlineStr">
        <is>
          <t>ot5</t>
        </is>
      </c>
      <c r="HI3" s="48" t="inlineStr">
        <is>
          <t>opv</t>
        </is>
      </c>
      <c r="HJ3" s="48" t="inlineStr">
        <is>
          <t>s</t>
        </is>
      </c>
      <c r="HK3" s="48" t="inlineStr">
        <is>
          <t>hon</t>
        </is>
      </c>
      <c r="HL3" s="48" t="inlineStr">
        <is>
          <t>hron</t>
        </is>
      </c>
      <c r="HM3" s="48" t="inlineStr">
        <is>
          <t>hreq1</t>
        </is>
      </c>
      <c r="HN3" s="48" t="inlineStr">
        <is>
          <t>hreq2</t>
        </is>
      </c>
      <c r="HO3" s="48" t="inlineStr">
        <is>
          <t>hreq3</t>
        </is>
      </c>
      <c r="HP3" s="48" t="inlineStr">
        <is>
          <t>hreq4</t>
        </is>
      </c>
      <c r="HQ3" s="48" t="inlineStr">
        <is>
          <t>hreq5</t>
        </is>
      </c>
      <c r="HR3" s="48" t="inlineStr">
        <is>
          <t>hinst1</t>
        </is>
      </c>
      <c r="HS3" s="48" t="inlineStr">
        <is>
          <t>hinst2</t>
        </is>
      </c>
      <c r="HT3" s="48" t="inlineStr">
        <is>
          <t>hinst3</t>
        </is>
      </c>
      <c r="HU3" s="48" t="inlineStr">
        <is>
          <t>hinst4</t>
        </is>
      </c>
      <c r="HV3" s="48" t="inlineStr">
        <is>
          <t>hinst5</t>
        </is>
      </c>
      <c r="HW3" s="48" t="inlineStr">
        <is>
          <t>hnew1</t>
        </is>
      </c>
      <c r="HX3" s="48" t="inlineStr">
        <is>
          <t>hnew2</t>
        </is>
      </c>
      <c r="HY3" s="48" t="inlineStr">
        <is>
          <t>hnew3</t>
        </is>
      </c>
      <c r="HZ3" s="48" t="inlineStr">
        <is>
          <t>hnew4</t>
        </is>
      </c>
      <c r="IA3" s="48" t="inlineStr">
        <is>
          <t>hnew5</t>
        </is>
      </c>
      <c r="IB3" s="48" t="inlineStr">
        <is>
          <t>hrepl1</t>
        </is>
      </c>
      <c r="IC3" s="48" t="inlineStr">
        <is>
          <t>hrepl2</t>
        </is>
      </c>
      <c r="ID3" s="48" t="inlineStr">
        <is>
          <t>hrepl3</t>
        </is>
      </c>
      <c r="IE3" s="48" t="inlineStr">
        <is>
          <t>hrepl4</t>
        </is>
      </c>
      <c r="IF3" s="48" t="inlineStr">
        <is>
          <t>hrepl5</t>
        </is>
      </c>
      <c r="IG3" s="48" t="inlineStr">
        <is>
          <t>hbuy1</t>
        </is>
      </c>
      <c r="IH3" s="48" t="inlineStr">
        <is>
          <t>hbuy2</t>
        </is>
      </c>
      <c r="II3" s="48" t="inlineStr">
        <is>
          <t>hbuy3</t>
        </is>
      </c>
      <c r="IJ3" s="48" t="inlineStr">
        <is>
          <t>hbuy4</t>
        </is>
      </c>
      <c r="IK3" s="48" t="inlineStr">
        <is>
          <t>hbuy5</t>
        </is>
      </c>
      <c r="IL3" s="48" t="inlineStr">
        <is>
          <t>hcapex1</t>
        </is>
      </c>
      <c r="IM3" s="48" t="inlineStr">
        <is>
          <t>hcapex2</t>
        </is>
      </c>
      <c r="IN3" s="48" t="inlineStr">
        <is>
          <t>hcapex3</t>
        </is>
      </c>
      <c r="IO3" s="48" t="inlineStr">
        <is>
          <t>hcapex4</t>
        </is>
      </c>
      <c r="IP3" s="48" t="inlineStr">
        <is>
          <t>hcapex5</t>
        </is>
      </c>
      <c r="IQ3" s="48" t="inlineStr">
        <is>
          <t>hresid1</t>
        </is>
      </c>
      <c r="IR3" s="48" t="inlineStr">
        <is>
          <t>hresid2</t>
        </is>
      </c>
      <c r="IS3" s="48" t="inlineStr">
        <is>
          <t>hresid3</t>
        </is>
      </c>
      <c r="IT3" s="48" t="inlineStr">
        <is>
          <t>hresid4</t>
        </is>
      </c>
      <c r="IU3" s="48" t="inlineStr">
        <is>
          <t>hresid5</t>
        </is>
      </c>
      <c r="IV3" s="48" t="inlineStr">
        <is>
          <t>hdepr1</t>
        </is>
      </c>
      <c r="IW3" s="48" t="inlineStr">
        <is>
          <t>hdepr2</t>
        </is>
      </c>
      <c r="IX3" s="48" t="inlineStr">
        <is>
          <t>hdepr3</t>
        </is>
      </c>
      <c r="IY3" s="48" t="inlineStr">
        <is>
          <t>hdepr4</t>
        </is>
      </c>
      <c r="IZ3" s="48" t="inlineStr">
        <is>
          <t>hdepr5</t>
        </is>
      </c>
      <c r="JA3" s="48" t="inlineStr">
        <is>
          <t>hpower1</t>
        </is>
      </c>
      <c r="JB3" s="48" t="inlineStr">
        <is>
          <t>hpower2</t>
        </is>
      </c>
      <c r="JC3" s="48" t="inlineStr">
        <is>
          <t>hpower3</t>
        </is>
      </c>
      <c r="JD3" s="48" t="inlineStr">
        <is>
          <t>hpower4</t>
        </is>
      </c>
      <c r="JE3" s="48" t="inlineStr">
        <is>
          <t>hpower5</t>
        </is>
      </c>
      <c r="JF3" s="48" t="inlineStr">
        <is>
          <t>hcolo1</t>
        </is>
      </c>
      <c r="JG3" s="48" t="inlineStr">
        <is>
          <t>hcolo2</t>
        </is>
      </c>
      <c r="JH3" s="48" t="inlineStr">
        <is>
          <t>hcolo3</t>
        </is>
      </c>
      <c r="JI3" s="48" t="inlineStr">
        <is>
          <t>hcolo4</t>
        </is>
      </c>
      <c r="JJ3" s="48" t="inlineStr">
        <is>
          <t>hcolo5</t>
        </is>
      </c>
      <c r="JK3" s="48" t="inlineStr">
        <is>
          <t>hmaint1</t>
        </is>
      </c>
      <c r="JL3" s="48" t="inlineStr">
        <is>
          <t>hmaint2</t>
        </is>
      </c>
      <c r="JM3" s="48" t="inlineStr">
        <is>
          <t>hmaint3</t>
        </is>
      </c>
      <c r="JN3" s="48" t="inlineStr">
        <is>
          <t>hmaint4</t>
        </is>
      </c>
      <c r="JO3" s="48" t="inlineStr">
        <is>
          <t>hmaint5</t>
        </is>
      </c>
      <c r="JP3" s="48" t="inlineStr">
        <is>
          <t>hsoft1</t>
        </is>
      </c>
      <c r="JQ3" s="48" t="inlineStr">
        <is>
          <t>hsoft2</t>
        </is>
      </c>
      <c r="JR3" s="48" t="inlineStr">
        <is>
          <t>hsoft3</t>
        </is>
      </c>
      <c r="JS3" s="48" t="inlineStr">
        <is>
          <t>hsoft4</t>
        </is>
      </c>
      <c r="JT3" s="48" t="inlineStr">
        <is>
          <t>hsoft5</t>
        </is>
      </c>
      <c r="JU3" s="48" t="inlineStr">
        <is>
          <t>hstaff1</t>
        </is>
      </c>
      <c r="JV3" s="48" t="inlineStr">
        <is>
          <t>hstaff2</t>
        </is>
      </c>
      <c r="JW3" s="48" t="inlineStr">
        <is>
          <t>hstaff3</t>
        </is>
      </c>
      <c r="JX3" s="48" t="inlineStr">
        <is>
          <t>hstaff4</t>
        </is>
      </c>
      <c r="JY3" s="48" t="inlineStr">
        <is>
          <t>hstaff5</t>
        </is>
      </c>
      <c r="JZ3" s="48" t="inlineStr">
        <is>
          <t>hrtok1</t>
        </is>
      </c>
      <c r="KA3" s="48" t="inlineStr">
        <is>
          <t>hrtok2</t>
        </is>
      </c>
      <c r="KB3" s="48" t="inlineStr">
        <is>
          <t>hrtok3</t>
        </is>
      </c>
      <c r="KC3" s="48" t="inlineStr">
        <is>
          <t>hrtok4</t>
        </is>
      </c>
      <c r="KD3" s="48" t="inlineStr">
        <is>
          <t>hrtok5</t>
        </is>
      </c>
      <c r="KE3" s="48" t="inlineStr">
        <is>
          <t>hrfix1</t>
        </is>
      </c>
      <c r="KF3" s="48" t="inlineStr">
        <is>
          <t>hrfix2</t>
        </is>
      </c>
      <c r="KG3" s="48" t="inlineStr">
        <is>
          <t>hrfix3</t>
        </is>
      </c>
      <c r="KH3" s="48" t="inlineStr">
        <is>
          <t>hrfix4</t>
        </is>
      </c>
      <c r="KI3" s="48" t="inlineStr">
        <is>
          <t>hrfix5</t>
        </is>
      </c>
      <c r="KJ3" s="48" t="inlineStr">
        <is>
          <t>hone1</t>
        </is>
      </c>
      <c r="KK3" s="48" t="inlineStr">
        <is>
          <t>hone2</t>
        </is>
      </c>
      <c r="KL3" s="48" t="inlineStr">
        <is>
          <t>hone3</t>
        </is>
      </c>
      <c r="KM3" s="48" t="inlineStr">
        <is>
          <t>hone4</t>
        </is>
      </c>
      <c r="KN3" s="48" t="inlineStr">
        <is>
          <t>hone5</t>
        </is>
      </c>
      <c r="KO3" s="48" t="inlineStr">
        <is>
          <t>htot1</t>
        </is>
      </c>
      <c r="KP3" s="48" t="inlineStr">
        <is>
          <t>htot2</t>
        </is>
      </c>
      <c r="KQ3" s="48" t="inlineStr">
        <is>
          <t>htot3</t>
        </is>
      </c>
      <c r="KR3" s="48" t="inlineStr">
        <is>
          <t>htot4</t>
        </is>
      </c>
      <c r="KS3" s="48" t="inlineStr">
        <is>
          <t>htot5</t>
        </is>
      </c>
      <c r="KT3" s="48" t="inlineStr">
        <is>
          <t>hcs1</t>
        </is>
      </c>
      <c r="KU3" s="48" t="inlineStr">
        <is>
          <t>hcs2</t>
        </is>
      </c>
      <c r="KV3" s="48" t="inlineStr">
        <is>
          <t>hcs3</t>
        </is>
      </c>
      <c r="KW3" s="48" t="inlineStr">
        <is>
          <t>hcs4</t>
        </is>
      </c>
      <c r="KX3" s="48" t="inlineStr">
        <is>
          <t>hcs5</t>
        </is>
      </c>
      <c r="KY3" s="48" t="inlineStr">
        <is>
          <t>hce1</t>
        </is>
      </c>
      <c r="KZ3" s="48" t="inlineStr">
        <is>
          <t>hce2</t>
        </is>
      </c>
      <c r="LA3" s="48" t="inlineStr">
        <is>
          <t>hce3</t>
        </is>
      </c>
      <c r="LB3" s="48" t="inlineStr">
        <is>
          <t>hce4</t>
        </is>
      </c>
      <c r="LC3" s="48" t="inlineStr">
        <is>
          <t>hce5</t>
        </is>
      </c>
      <c r="LD3" s="48" t="inlineStr">
        <is>
          <t>htv</t>
        </is>
      </c>
      <c r="LE3" s="48" t="inlineStr">
        <is>
          <t>hnom</t>
        </is>
      </c>
      <c r="LF3" s="48" t="inlineStr">
        <is>
          <t>ht3</t>
        </is>
      </c>
      <c r="LG3" s="48" t="inlineStr">
        <is>
          <t>ht5</t>
        </is>
      </c>
      <c r="LH3" s="48" t="inlineStr">
        <is>
          <t>hpv</t>
        </is>
      </c>
      <c r="LI3" s="48" t="inlineStr">
        <is>
          <t>T1M</t>
        </is>
      </c>
      <c r="LJ3" s="48" t="inlineStr">
        <is>
          <t>rcpm</t>
        </is>
      </c>
      <c r="LK3" s="48" t="inlineStr">
        <is>
          <t>ocpm</t>
        </is>
      </c>
      <c r="LL3" s="48" t="inlineStr">
        <is>
          <t>hcpm</t>
        </is>
      </c>
      <c r="LM3" s="48" t="inlineStr">
        <is>
          <t>ncap</t>
        </is>
      </c>
      <c r="LN3" s="48" t="inlineStr">
        <is>
          <t>ocapM</t>
        </is>
      </c>
      <c r="LO3" s="48" t="inlineStr">
        <is>
          <t>orec</t>
        </is>
      </c>
      <c r="LP3" s="48" t="inlineStr">
        <is>
          <t>obe</t>
        </is>
      </c>
      <c r="LQ3" s="48" t="inlineStr">
        <is>
          <t>oexp</t>
        </is>
      </c>
      <c r="LR3" s="48" t="inlineStr">
        <is>
          <t>umax</t>
        </is>
      </c>
      <c r="LS3" s="48" t="inlineStr">
        <is>
          <t>hcapM</t>
        </is>
      </c>
      <c r="LT3" s="48" t="inlineStr">
        <is>
          <t>hrec</t>
        </is>
      </c>
      <c r="LU3" s="48" t="inlineStr">
        <is>
          <t>hbe</t>
        </is>
      </c>
      <c r="LV3" s="48" t="inlineStr">
        <is>
          <t>hexp</t>
        </is>
      </c>
      <c r="LW3" s="48" t="inlineStr">
        <is>
          <t>gpuann</t>
        </is>
      </c>
      <c r="LX3" s="48" t="inlineStr">
        <is>
          <t>hwbe</t>
        </is>
      </c>
      <c r="LY3" s="48" t="inlineStr">
        <is>
          <t>varpm</t>
        </is>
      </c>
      <c r="LZ3" s="48" t="inlineStr">
        <is>
          <t>fixnet</t>
        </is>
      </c>
      <c r="MA3" s="48" t="inlineStr">
        <is>
          <t>bevol</t>
        </is>
      </c>
      <c r="MB3" s="48" t="inlineStr">
        <is>
          <t>bevolx</t>
        </is>
      </c>
      <c r="MC3" s="48" t="inlineStr">
        <is>
          <t>fte</t>
        </is>
      </c>
      <c r="MD3" s="48" t="inlineStr">
        <is>
          <t>val</t>
        </is>
      </c>
      <c r="ME3" s="48" t="inlineStr">
        <is>
          <t>pvval</t>
        </is>
      </c>
      <c r="MF3" s="48" t="inlineStr">
        <is>
          <t>rnpv</t>
        </is>
      </c>
      <c r="MG3" s="48" t="inlineStr">
        <is>
          <t>onpv</t>
        </is>
      </c>
      <c r="MH3" s="48" t="inlineStr">
        <is>
          <t>hnpv</t>
        </is>
      </c>
      <c r="MI3" s="48" t="inlineStr">
        <is>
          <t>net1</t>
        </is>
      </c>
      <c r="MJ3" s="48" t="inlineStr">
        <is>
          <t>best</t>
        </is>
      </c>
      <c r="MK3" s="48" t="inlineStr">
        <is>
          <t>bestnom</t>
        </is>
      </c>
    </row>
    <row r="4">
      <c r="A4" s="25">
        <f>Sensitivity!A7&amp;" ("&amp;Sensitivity!C7&amp;")"</f>
        <v/>
      </c>
      <c r="B4" s="25">
        <f>Inputs!$B$5</f>
        <v/>
      </c>
      <c r="C4" s="25">
        <f>Inputs!$B$6</f>
        <v/>
      </c>
      <c r="D4" s="25">
        <f>Inputs!$B$7</f>
        <v/>
      </c>
      <c r="E4" s="25">
        <f>Inputs!$B$8</f>
        <v/>
      </c>
      <c r="F4" s="25">
        <f>Inputs!$B$12</f>
        <v/>
      </c>
      <c r="G4" s="25">
        <f>Inputs!$B$13</f>
        <v/>
      </c>
      <c r="H4" s="25">
        <f>Inputs!$B$14</f>
        <v/>
      </c>
      <c r="I4" s="25">
        <f>Inputs!$B$18</f>
        <v/>
      </c>
      <c r="J4" s="25">
        <f>Inputs!$B$19</f>
        <v/>
      </c>
      <c r="K4" s="25">
        <f>Inputs!$B$20</f>
        <v/>
      </c>
      <c r="L4" s="25">
        <f>Inputs!$B$21</f>
        <v/>
      </c>
      <c r="M4" s="25">
        <f>Inputs!$B$22</f>
        <v/>
      </c>
      <c r="N4" s="25">
        <f>Inputs!$B$23</f>
        <v/>
      </c>
      <c r="O4" s="25">
        <f>Inputs!$B$26</f>
        <v/>
      </c>
      <c r="P4" s="25">
        <f>Inputs!$B$27</f>
        <v/>
      </c>
      <c r="Q4" s="25">
        <f>Inputs!$B$28</f>
        <v/>
      </c>
      <c r="R4" s="25">
        <f>Inputs!$B$29</f>
        <v/>
      </c>
      <c r="S4" s="25">
        <f>Inputs!$B$30</f>
        <v/>
      </c>
      <c r="T4" s="25">
        <f>Inputs!$B$31</f>
        <v/>
      </c>
      <c r="U4" s="25">
        <f>Inputs!$B$32</f>
        <v/>
      </c>
      <c r="V4" s="25">
        <f>Inputs!$B$35</f>
        <v/>
      </c>
      <c r="W4" s="25">
        <f>Inputs!$B$36</f>
        <v/>
      </c>
      <c r="X4" s="25">
        <f>Inputs!$B$37</f>
        <v/>
      </c>
      <c r="Y4" s="25">
        <f>Inputs!$B$38</f>
        <v/>
      </c>
      <c r="Z4" s="25">
        <f>Inputs!$B$39</f>
        <v/>
      </c>
      <c r="AA4" s="25">
        <f>Inputs!$B$40</f>
        <v/>
      </c>
      <c r="AB4" s="25">
        <f>Inputs!$B$41</f>
        <v/>
      </c>
      <c r="AC4" s="25">
        <f>Inputs!$B$42</f>
        <v/>
      </c>
      <c r="AD4" s="25">
        <f>Inputs!$B$43</f>
        <v/>
      </c>
      <c r="AE4" s="25">
        <f>Inputs!$B$44</f>
        <v/>
      </c>
      <c r="AF4" s="25">
        <f>Inputs!$B$45</f>
        <v/>
      </c>
      <c r="AG4" s="25">
        <f>Inputs!$B$46</f>
        <v/>
      </c>
      <c r="AH4" s="25">
        <f>Inputs!$B$47</f>
        <v/>
      </c>
      <c r="AI4" s="25">
        <f>Inputs!$B$48</f>
        <v/>
      </c>
      <c r="AJ4" s="25">
        <f>IF(ISNUMBER(Inputs!$B$51),Inputs!$B$51,"")</f>
        <v/>
      </c>
      <c r="AK4" s="25">
        <f>Inputs!$B$52</f>
        <v/>
      </c>
      <c r="AL4" s="25">
        <f>Inputs!$B$55</f>
        <v/>
      </c>
      <c r="AM4" s="25">
        <f>Inputs!$B$56</f>
        <v/>
      </c>
      <c r="AN4" s="25">
        <f>Inputs!$B$57</f>
        <v/>
      </c>
      <c r="AO4" s="25">
        <f>Inputs!$B$58</f>
        <v/>
      </c>
      <c r="AP4" s="25">
        <f>Inputs!$B$61</f>
        <v/>
      </c>
      <c r="AQ4" s="25">
        <f>Inputs!$B$62</f>
        <v/>
      </c>
      <c r="AR4" s="25">
        <f>1</f>
        <v/>
      </c>
      <c r="AS4" s="25" t="n">
        <v>1</v>
      </c>
      <c r="AT4" s="25" t="n">
        <v>2</v>
      </c>
      <c r="AU4" s="25" t="n">
        <v>3</v>
      </c>
      <c r="AV4" s="25" t="n">
        <v>4</v>
      </c>
      <c r="AW4" s="25" t="n">
        <v>5</v>
      </c>
      <c r="AX4" s="25">
        <f>MIN(5,MAX(1,ROUND($AL4,0)))</f>
        <v/>
      </c>
      <c r="AY4" s="25">
        <f>MAX(1,ROUND($W4,0))</f>
        <v/>
      </c>
      <c r="AZ4" s="25">
        <f>IF(1&lt;=$AX4,1,0)</f>
        <v/>
      </c>
      <c r="BA4" s="25">
        <f>IF(2&lt;=$AX4,1,0)</f>
        <v/>
      </c>
      <c r="BB4" s="25">
        <f>IF(3&lt;=$AX4,1,0)</f>
        <v/>
      </c>
      <c r="BC4" s="25">
        <f>IF(4&lt;=$AX4,1,0)</f>
        <v/>
      </c>
      <c r="BD4" s="25">
        <f>IF(5&lt;=$AX4,1,0)</f>
        <v/>
      </c>
      <c r="BE4" s="52">
        <f>(1+$AN4)^(1-1)</f>
        <v/>
      </c>
      <c r="BF4" s="52">
        <f>(1+$AN4)^(2-1)</f>
        <v/>
      </c>
      <c r="BG4" s="52">
        <f>(1+$AN4)^(3-1)</f>
        <v/>
      </c>
      <c r="BH4" s="52">
        <f>(1+$AN4)^(4-1)</f>
        <v/>
      </c>
      <c r="BI4" s="52">
        <f>(1+$AN4)^(5-1)</f>
        <v/>
      </c>
      <c r="BJ4" s="53">
        <f>1/(1+$AM4)^(1-1)</f>
        <v/>
      </c>
      <c r="BK4" s="53">
        <f>1/(1+$AM4)^(2-1)</f>
        <v/>
      </c>
      <c r="BL4" s="53">
        <f>1/(1+$AM4)^(3-1)</f>
        <v/>
      </c>
      <c r="BM4" s="53">
        <f>1/(1+$AM4)^(4-1)</f>
        <v/>
      </c>
      <c r="BN4" s="53">
        <f>1/(1+$AM4)^(5-1)</f>
        <v/>
      </c>
      <c r="BO4" s="53">
        <f>1/(1+$AM4)^1</f>
        <v/>
      </c>
      <c r="BP4" s="53">
        <f>1/(1+$AM4)^2</f>
        <v/>
      </c>
      <c r="BQ4" s="53">
        <f>1/(1+$AM4)^3</f>
        <v/>
      </c>
      <c r="BR4" s="53">
        <f>1/(1+$AM4)^4</f>
        <v/>
      </c>
      <c r="BS4" s="53">
        <f>1/(1+$AM4)^5</f>
        <v/>
      </c>
      <c r="BT4" s="43">
        <f>IF(AND($I4="Direct monthly estimate",$J4&gt;0),$J4,$D4*$K4*$L4)</f>
        <v/>
      </c>
      <c r="BU4" s="43">
        <f>$BT4*$B4*12*(1+$N4)^(1-1)</f>
        <v/>
      </c>
      <c r="BV4" s="43">
        <f>$BT4*$B4*12*(1+$N4)^(2-1)</f>
        <v/>
      </c>
      <c r="BW4" s="43">
        <f>$BT4*$B4*12*(1+$N4)^(3-1)</f>
        <v/>
      </c>
      <c r="BX4" s="43">
        <f>$BT4*$B4*12*(1+$N4)^(4-1)</f>
        <v/>
      </c>
      <c r="BY4" s="43">
        <f>$BT4*$B4*12*(1+$N4)^(5-1)</f>
        <v/>
      </c>
      <c r="BZ4" s="43">
        <f>$BU4/31536000*$M4</f>
        <v/>
      </c>
      <c r="CA4" s="43">
        <f>$BV4/31536000*$M4</f>
        <v/>
      </c>
      <c r="CB4" s="43">
        <f>$BW4/31536000*$M4</f>
        <v/>
      </c>
      <c r="CC4" s="43">
        <f>$BX4/31536000*$M4</f>
        <v/>
      </c>
      <c r="CD4" s="43">
        <f>$BY4/31536000*$M4</f>
        <v/>
      </c>
      <c r="CE4" s="43">
        <f>$BZ4*$AI4</f>
        <v/>
      </c>
      <c r="CF4" s="43">
        <f>$CA4*$AI4</f>
        <v/>
      </c>
      <c r="CG4" s="43">
        <f>$CB4*$AI4</f>
        <v/>
      </c>
      <c r="CH4" s="43">
        <f>$CC4*$AI4</f>
        <v/>
      </c>
      <c r="CI4" s="43">
        <f>$CD4*$AI4</f>
        <v/>
      </c>
      <c r="CJ4" s="44">
        <f>$O4*(1-$Q4)*(1-$P4)^(1-1)</f>
        <v/>
      </c>
      <c r="CK4" s="44">
        <f>$O4*(1-$Q4)*(1-$P4)^(2-1)</f>
        <v/>
      </c>
      <c r="CL4" s="44">
        <f>$O4*(1-$Q4)*(1-$P4)^(3-1)</f>
        <v/>
      </c>
      <c r="CM4" s="44">
        <f>$O4*(1-$Q4)*(1-$P4)^(4-1)</f>
        <v/>
      </c>
      <c r="CN4" s="44">
        <f>$O4*(1-$Q4)*(1-$P4)^(5-1)</f>
        <v/>
      </c>
      <c r="CO4" s="45">
        <f>$BU4/1000000*$CJ4</f>
        <v/>
      </c>
      <c r="CP4" s="45">
        <f>$BV4/1000000*$CK4</f>
        <v/>
      </c>
      <c r="CQ4" s="45">
        <f>$BW4/1000000*$CL4</f>
        <v/>
      </c>
      <c r="CR4" s="45">
        <f>$BX4/1000000*$CM4</f>
        <v/>
      </c>
      <c r="CS4" s="45">
        <f>$BY4/1000000*$CN4</f>
        <v/>
      </c>
      <c r="CT4" s="45">
        <f>($T4*$U4+$S4)*$BE4</f>
        <v/>
      </c>
      <c r="CU4" s="45">
        <f>($T4*$U4+$S4)*$BF4</f>
        <v/>
      </c>
      <c r="CV4" s="45">
        <f>($T4*$U4+$S4)*$BG4</f>
        <v/>
      </c>
      <c r="CW4" s="45">
        <f>($T4*$U4+$S4)*$BH4</f>
        <v/>
      </c>
      <c r="CX4" s="45">
        <f>($T4*$U4+$S4)*$BI4</f>
        <v/>
      </c>
      <c r="CY4" s="45">
        <f>IF(1=1,$R4,0)</f>
        <v/>
      </c>
      <c r="CZ4" s="45">
        <f>IF(2=1,$R4,0)</f>
        <v/>
      </c>
      <c r="DA4" s="45">
        <f>IF(3=1,$R4,0)</f>
        <v/>
      </c>
      <c r="DB4" s="45">
        <f>IF(4=1,$R4,0)</f>
        <v/>
      </c>
      <c r="DC4" s="45">
        <f>IF(5=1,$R4,0)</f>
        <v/>
      </c>
      <c r="DD4" s="45">
        <f>$CO4+$CT4+$CY4</f>
        <v/>
      </c>
      <c r="DE4" s="45">
        <f>$CP4+$CU4+$CZ4</f>
        <v/>
      </c>
      <c r="DF4" s="45">
        <f>$CQ4+$CV4+$DA4</f>
        <v/>
      </c>
      <c r="DG4" s="45">
        <f>$CR4+$CW4+$DB4</f>
        <v/>
      </c>
      <c r="DH4" s="45">
        <f>$CS4+$CX4+$DC4</f>
        <v/>
      </c>
      <c r="DI4" s="45">
        <f>$CY4</f>
        <v/>
      </c>
      <c r="DJ4" s="45">
        <f>$CZ4</f>
        <v/>
      </c>
      <c r="DK4" s="45">
        <f>$DA4</f>
        <v/>
      </c>
      <c r="DL4" s="45">
        <f>$DB4</f>
        <v/>
      </c>
      <c r="DM4" s="45">
        <f>$DC4</f>
        <v/>
      </c>
      <c r="DN4" s="45">
        <f>$CO4+$CT4</f>
        <v/>
      </c>
      <c r="DO4" s="45">
        <f>$CP4+$CU4</f>
        <v/>
      </c>
      <c r="DP4" s="45">
        <f>$CQ4+$CV4</f>
        <v/>
      </c>
      <c r="DQ4" s="45">
        <f>$CR4+$CW4</f>
        <v/>
      </c>
      <c r="DR4" s="45">
        <f>$CS4+$CX4</f>
        <v/>
      </c>
      <c r="DS4" s="45">
        <f>0</f>
        <v/>
      </c>
      <c r="DT4" s="45">
        <f>SUMPRODUCT($AZ4:$BD4,$DD4:$DH4)</f>
        <v/>
      </c>
      <c r="DU4" s="45">
        <f>SUM($DD4:$DF4)</f>
        <v/>
      </c>
      <c r="DV4" s="45">
        <f>SUM($DD4:$DH4)</f>
        <v/>
      </c>
      <c r="DW4" s="45">
        <f>SUMPRODUCT($AZ4:$BD4,$DI4:$DM4,$BJ4:$BN4)+SUMPRODUCT($AZ4:$BD4,$DN4:$DR4,$BO4:$BS4)-$DS4/(1+$AM4)^$AX4</f>
        <v/>
      </c>
      <c r="DX4" s="43">
        <f>IF($CE4&gt;0,ROUNDUP($CE4/$AP4,0),0)</f>
        <v/>
      </c>
      <c r="DY4" s="43">
        <f>IF($CF4&gt;0,ROUNDUP($CF4/$AP4,0),0)</f>
        <v/>
      </c>
      <c r="DZ4" s="43">
        <f>IF($CG4&gt;0,ROUNDUP($CG4/$AP4,0),0)</f>
        <v/>
      </c>
      <c r="EA4" s="43">
        <f>IF($CH4&gt;0,ROUNDUP($CH4/$AP4,0),0)</f>
        <v/>
      </c>
      <c r="EB4" s="43">
        <f>IF($CI4&gt;0,ROUNDUP($CI4/$AP4,0),0)</f>
        <v/>
      </c>
      <c r="EC4" s="43">
        <f>MAX($DX4,0)</f>
        <v/>
      </c>
      <c r="ED4" s="43">
        <f>MAX($DY4,$EC4)</f>
        <v/>
      </c>
      <c r="EE4" s="43">
        <f>MAX($DZ4,$ED4)</f>
        <v/>
      </c>
      <c r="EF4" s="43">
        <f>MAX($EA4,$EE4)</f>
        <v/>
      </c>
      <c r="EG4" s="43">
        <f>MAX($EB4,$EF4)</f>
        <v/>
      </c>
      <c r="EH4" s="43">
        <f>$EC4-0</f>
        <v/>
      </c>
      <c r="EI4" s="43">
        <f>$ED4-$EC4</f>
        <v/>
      </c>
      <c r="EJ4" s="43">
        <f>$EE4-$ED4</f>
        <v/>
      </c>
      <c r="EK4" s="43">
        <f>$EF4-$EE4</f>
        <v/>
      </c>
      <c r="EL4" s="43">
        <f>$EG4-$EF4</f>
        <v/>
      </c>
      <c r="EM4" s="43">
        <f>0</f>
        <v/>
      </c>
      <c r="EN4" s="43">
        <f>(1+$AY4=2)*$ER4</f>
        <v/>
      </c>
      <c r="EO4" s="43">
        <f>(1+$AY4=3)*$ER4+(2+$AY4=3)*$ES4</f>
        <v/>
      </c>
      <c r="EP4" s="43">
        <f>(1+$AY4=4)*$ER4+(2+$AY4=4)*$ES4+(3+$AY4=4)*$ET4</f>
        <v/>
      </c>
      <c r="EQ4" s="43">
        <f>(1+$AY4=5)*$ER4+(2+$AY4=5)*$ES4+(3+$AY4=5)*$ET4+(4+$AY4=5)*$EU4</f>
        <v/>
      </c>
      <c r="ER4" s="43">
        <f>$EH4+$EM4</f>
        <v/>
      </c>
      <c r="ES4" s="43">
        <f>$EI4+$EN4</f>
        <v/>
      </c>
      <c r="ET4" s="43">
        <f>$EJ4+$EO4</f>
        <v/>
      </c>
      <c r="EU4" s="43">
        <f>$EK4+$EP4</f>
        <v/>
      </c>
      <c r="EV4" s="43">
        <f>$EL4+$EQ4</f>
        <v/>
      </c>
      <c r="EW4" s="45">
        <f>$ER4*$V4</f>
        <v/>
      </c>
      <c r="EX4" s="45">
        <f>$ES4*$V4</f>
        <v/>
      </c>
      <c r="EY4" s="45">
        <f>$ET4*$V4</f>
        <v/>
      </c>
      <c r="EZ4" s="45">
        <f>$EU4*$V4</f>
        <v/>
      </c>
      <c r="FA4" s="45">
        <f>$EV4*$V4</f>
        <v/>
      </c>
      <c r="FB4" s="45">
        <f>$EM4*$V4*$X4</f>
        <v/>
      </c>
      <c r="FC4" s="45">
        <f>$EN4*$V4*$X4</f>
        <v/>
      </c>
      <c r="FD4" s="45">
        <f>$EO4*$V4*$X4</f>
        <v/>
      </c>
      <c r="FE4" s="45">
        <f>$EP4*$V4*$X4</f>
        <v/>
      </c>
      <c r="FF4" s="45">
        <f>$EQ4*$V4*$X4</f>
        <v/>
      </c>
      <c r="FG4" s="45">
        <f>$EC4*$V4*(1-$X4)/$AY4</f>
        <v/>
      </c>
      <c r="FH4" s="45">
        <f>$ED4*$V4*(1-$X4)/$AY4</f>
        <v/>
      </c>
      <c r="FI4" s="45">
        <f>$EE4*$V4*(1-$X4)/$AY4</f>
        <v/>
      </c>
      <c r="FJ4" s="45">
        <f>$EF4*$V4*(1-$X4)/$AY4</f>
        <v/>
      </c>
      <c r="FK4" s="45">
        <f>$EG4*$V4*(1-$X4)/$AY4</f>
        <v/>
      </c>
      <c r="FL4" s="45">
        <f>$EC4*$Y4*$Z4*$AA4*8760*$BE4</f>
        <v/>
      </c>
      <c r="FM4" s="45">
        <f>$ED4*$Y4*$Z4*$AA4*8760*$BF4</f>
        <v/>
      </c>
      <c r="FN4" s="45">
        <f>$EE4*$Y4*$Z4*$AA4*8760*$BG4</f>
        <v/>
      </c>
      <c r="FO4" s="45">
        <f>$EF4*$Y4*$Z4*$AA4*8760*$BH4</f>
        <v/>
      </c>
      <c r="FP4" s="45">
        <f>$EG4*$Y4*$Z4*$AA4*8760*$BI4</f>
        <v/>
      </c>
      <c r="FQ4" s="45">
        <f>IF($AC4&gt;0,$AC4,$EC4*$Y4*$AB4*12)*$BE4</f>
        <v/>
      </c>
      <c r="FR4" s="45">
        <f>IF($AC4&gt;0,$AC4,$ED4*$Y4*$AB4*12)*$BF4</f>
        <v/>
      </c>
      <c r="FS4" s="45">
        <f>IF($AC4&gt;0,$AC4,$EE4*$Y4*$AB4*12)*$BG4</f>
        <v/>
      </c>
      <c r="FT4" s="45">
        <f>IF($AC4&gt;0,$AC4,$EF4*$Y4*$AB4*12)*$BH4</f>
        <v/>
      </c>
      <c r="FU4" s="45">
        <f>IF($AC4&gt;0,$AC4,$EG4*$Y4*$AB4*12)*$BI4</f>
        <v/>
      </c>
      <c r="FV4" s="45">
        <f>$EC4*$V4*$AD4*$BE4</f>
        <v/>
      </c>
      <c r="FW4" s="45">
        <f>$ED4*$V4*$AD4*$BF4</f>
        <v/>
      </c>
      <c r="FX4" s="45">
        <f>$EE4*$V4*$AD4*$BG4</f>
        <v/>
      </c>
      <c r="FY4" s="45">
        <f>$EF4*$V4*$AD4*$BH4</f>
        <v/>
      </c>
      <c r="FZ4" s="45">
        <f>$EG4*$V4*$AD4*$BI4</f>
        <v/>
      </c>
      <c r="GA4" s="45">
        <f>$AE4*$BE4</f>
        <v/>
      </c>
      <c r="GB4" s="45">
        <f>$AE4*$BF4</f>
        <v/>
      </c>
      <c r="GC4" s="45">
        <f>$AE4*$BG4</f>
        <v/>
      </c>
      <c r="GD4" s="45">
        <f>$AE4*$BH4</f>
        <v/>
      </c>
      <c r="GE4" s="45">
        <f>$AE4*$BI4</f>
        <v/>
      </c>
      <c r="GF4" s="45">
        <f>$AF4*$AG4*$BE4</f>
        <v/>
      </c>
      <c r="GG4" s="45">
        <f>$AF4*$AG4*$BF4</f>
        <v/>
      </c>
      <c r="GH4" s="45">
        <f>$AF4*$AG4*$BG4</f>
        <v/>
      </c>
      <c r="GI4" s="45">
        <f>$AF4*$AG4*$BH4</f>
        <v/>
      </c>
      <c r="GJ4" s="45">
        <f>$AF4*$AG4*$BI4</f>
        <v/>
      </c>
      <c r="GK4" s="45">
        <f>IF(1=1,$AH4,0)</f>
        <v/>
      </c>
      <c r="GL4" s="45">
        <f>IF(2=1,$AH4,0)</f>
        <v/>
      </c>
      <c r="GM4" s="45">
        <f>IF(3=1,$AH4,0)</f>
        <v/>
      </c>
      <c r="GN4" s="45">
        <f>IF(4=1,$AH4,0)</f>
        <v/>
      </c>
      <c r="GO4" s="45">
        <f>IF(5=1,$AH4,0)</f>
        <v/>
      </c>
      <c r="GP4" s="45">
        <f>$FG4+$FL4+$FQ4+$FV4+$GA4+$GF4+$GK4</f>
        <v/>
      </c>
      <c r="GQ4" s="45">
        <f>$FH4+$FM4+$FR4+$FW4+$GB4+$GG4+$GL4</f>
        <v/>
      </c>
      <c r="GR4" s="45">
        <f>$FI4+$FN4+$FS4+$FX4+$GC4+$GH4+$GM4</f>
        <v/>
      </c>
      <c r="GS4" s="45">
        <f>$FJ4+$FO4+$FT4+$FY4+$GD4+$GI4+$GN4</f>
        <v/>
      </c>
      <c r="GT4" s="45">
        <f>$FK4+$FP4+$FU4+$FZ4+$GE4+$GJ4+$GO4</f>
        <v/>
      </c>
      <c r="GU4" s="45">
        <f>$EW4-$FB4+$GK4</f>
        <v/>
      </c>
      <c r="GV4" s="45">
        <f>$EX4-$FC4+$GL4</f>
        <v/>
      </c>
      <c r="GW4" s="45">
        <f>$EY4-$FD4+$GM4</f>
        <v/>
      </c>
      <c r="GX4" s="45">
        <f>$EZ4-$FE4+$GN4</f>
        <v/>
      </c>
      <c r="GY4" s="45">
        <f>$FA4-$FF4+$GO4</f>
        <v/>
      </c>
      <c r="GZ4" s="45">
        <f>$FL4+$FQ4+$FV4+$GA4+$GF4</f>
        <v/>
      </c>
      <c r="HA4" s="45">
        <f>$FM4+$FR4+$FW4+$GB4+$GG4</f>
        <v/>
      </c>
      <c r="HB4" s="45">
        <f>$FN4+$FS4+$FX4+$GC4+$GH4</f>
        <v/>
      </c>
      <c r="HC4" s="45">
        <f>$FO4+$FT4+$FY4+$GD4+$GI4</f>
        <v/>
      </c>
      <c r="HD4" s="45">
        <f>$FP4+$FU4+$FZ4+$GE4+$GJ4</f>
        <v/>
      </c>
      <c r="HE4" s="45">
        <f>((1&lt;=$AX4)*(1&gt;$AX4-$AY4))*$ER4*$V4*MAX(0,1-(1-$X4)*($AX4-1+1)/$AY4)+((2&lt;=$AX4)*(2&gt;$AX4-$AY4))*$ES4*$V4*MAX(0,1-(1-$X4)*($AX4-2+1)/$AY4)+((3&lt;=$AX4)*(3&gt;$AX4-$AY4))*$ET4*$V4*MAX(0,1-(1-$X4)*($AX4-3+1)/$AY4)+((4&lt;=$AX4)*(4&gt;$AX4-$AY4))*$EU4*$V4*MAX(0,1-(1-$X4)*($AX4-4+1)/$AY4)+((5&lt;=$AX4)*(5&gt;$AX4-$AY4))*$EV4*$V4*MAX(0,1-(1-$X4)*($AX4-5+1)/$AY4)</f>
        <v/>
      </c>
      <c r="HF4" s="45">
        <f>SUMPRODUCT($AZ4:$BD4,$GP4:$GT4)</f>
        <v/>
      </c>
      <c r="HG4" s="45">
        <f>SUM($GP4:$GR4)</f>
        <v/>
      </c>
      <c r="HH4" s="45">
        <f>SUM($GP4:$GT4)</f>
        <v/>
      </c>
      <c r="HI4" s="45">
        <f>SUMPRODUCT($AZ4:$BD4,$GU4:$GY4,$BJ4:$BN4)+SUMPRODUCT($AZ4:$BD4,$GZ4:$HD4,$BO4:$BS4)-$HE4/(1+$AM4)^$AX4</f>
        <v/>
      </c>
      <c r="HJ4" s="46">
        <f>MIN(1,MAX(0,IF(ISNUMBER($AJ4),$AJ4,IF($F4+$G4+$H4&gt;0,($G4+$H4)/($F4+$G4+$H4),0))*$AR4))</f>
        <v/>
      </c>
      <c r="HK4" s="25">
        <f>IF($HJ4&gt;0,1,0)</f>
        <v/>
      </c>
      <c r="HL4" s="25">
        <f>IF($HJ4&lt;1,1,0)</f>
        <v/>
      </c>
      <c r="HM4" s="43">
        <f>IF($CE4*$HJ4&gt;0,ROUNDUP($CE4*$HJ4/$AP4,0),0)</f>
        <v/>
      </c>
      <c r="HN4" s="43">
        <f>IF($CF4*$HJ4&gt;0,ROUNDUP($CF4*$HJ4/$AP4,0),0)</f>
        <v/>
      </c>
      <c r="HO4" s="43">
        <f>IF($CG4*$HJ4&gt;0,ROUNDUP($CG4*$HJ4/$AP4,0),0)</f>
        <v/>
      </c>
      <c r="HP4" s="43">
        <f>IF($CH4*$HJ4&gt;0,ROUNDUP($CH4*$HJ4/$AP4,0),0)</f>
        <v/>
      </c>
      <c r="HQ4" s="43">
        <f>IF($CI4*$HJ4&gt;0,ROUNDUP($CI4*$HJ4/$AP4,0),0)</f>
        <v/>
      </c>
      <c r="HR4" s="43">
        <f>MAX($HM4,0)</f>
        <v/>
      </c>
      <c r="HS4" s="43">
        <f>MAX($HN4,$HR4)</f>
        <v/>
      </c>
      <c r="HT4" s="43">
        <f>MAX($HO4,$HS4)</f>
        <v/>
      </c>
      <c r="HU4" s="43">
        <f>MAX($HP4,$HT4)</f>
        <v/>
      </c>
      <c r="HV4" s="43">
        <f>MAX($HQ4,$HU4)</f>
        <v/>
      </c>
      <c r="HW4" s="43">
        <f>$HR4-0</f>
        <v/>
      </c>
      <c r="HX4" s="43">
        <f>$HS4-$HR4</f>
        <v/>
      </c>
      <c r="HY4" s="43">
        <f>$HT4-$HS4</f>
        <v/>
      </c>
      <c r="HZ4" s="43">
        <f>$HU4-$HT4</f>
        <v/>
      </c>
      <c r="IA4" s="43">
        <f>$HV4-$HU4</f>
        <v/>
      </c>
      <c r="IB4" s="43">
        <f>0</f>
        <v/>
      </c>
      <c r="IC4" s="43">
        <f>(1+$AY4=2)*$IG4</f>
        <v/>
      </c>
      <c r="ID4" s="43">
        <f>(1+$AY4=3)*$IG4+(2+$AY4=3)*$IH4</f>
        <v/>
      </c>
      <c r="IE4" s="43">
        <f>(1+$AY4=4)*$IG4+(2+$AY4=4)*$IH4+(3+$AY4=4)*$II4</f>
        <v/>
      </c>
      <c r="IF4" s="43">
        <f>(1+$AY4=5)*$IG4+(2+$AY4=5)*$IH4+(3+$AY4=5)*$II4+(4+$AY4=5)*$IJ4</f>
        <v/>
      </c>
      <c r="IG4" s="43">
        <f>$HW4+$IB4</f>
        <v/>
      </c>
      <c r="IH4" s="43">
        <f>$HX4+$IC4</f>
        <v/>
      </c>
      <c r="II4" s="43">
        <f>$HY4+$ID4</f>
        <v/>
      </c>
      <c r="IJ4" s="43">
        <f>$HZ4+$IE4</f>
        <v/>
      </c>
      <c r="IK4" s="43">
        <f>$IA4+$IF4</f>
        <v/>
      </c>
      <c r="IL4" s="45">
        <f>$IG4*$V4</f>
        <v/>
      </c>
      <c r="IM4" s="45">
        <f>$IH4*$V4</f>
        <v/>
      </c>
      <c r="IN4" s="45">
        <f>$II4*$V4</f>
        <v/>
      </c>
      <c r="IO4" s="45">
        <f>$IJ4*$V4</f>
        <v/>
      </c>
      <c r="IP4" s="45">
        <f>$IK4*$V4</f>
        <v/>
      </c>
      <c r="IQ4" s="45">
        <f>$IB4*$V4*$X4</f>
        <v/>
      </c>
      <c r="IR4" s="45">
        <f>$IC4*$V4*$X4</f>
        <v/>
      </c>
      <c r="IS4" s="45">
        <f>$ID4*$V4*$X4</f>
        <v/>
      </c>
      <c r="IT4" s="45">
        <f>$IE4*$V4*$X4</f>
        <v/>
      </c>
      <c r="IU4" s="45">
        <f>$IF4*$V4*$X4</f>
        <v/>
      </c>
      <c r="IV4" s="45">
        <f>$HR4*$V4*(1-$X4)/$AY4</f>
        <v/>
      </c>
      <c r="IW4" s="45">
        <f>$HS4*$V4*(1-$X4)/$AY4</f>
        <v/>
      </c>
      <c r="IX4" s="45">
        <f>$HT4*$V4*(1-$X4)/$AY4</f>
        <v/>
      </c>
      <c r="IY4" s="45">
        <f>$HU4*$V4*(1-$X4)/$AY4</f>
        <v/>
      </c>
      <c r="IZ4" s="45">
        <f>$HV4*$V4*(1-$X4)/$AY4</f>
        <v/>
      </c>
      <c r="JA4" s="45">
        <f>$HR4*$Y4*$Z4*$AA4*8760*$BE4</f>
        <v/>
      </c>
      <c r="JB4" s="45">
        <f>$HS4*$Y4*$Z4*$AA4*8760*$BF4</f>
        <v/>
      </c>
      <c r="JC4" s="45">
        <f>$HT4*$Y4*$Z4*$AA4*8760*$BG4</f>
        <v/>
      </c>
      <c r="JD4" s="45">
        <f>$HU4*$Y4*$Z4*$AA4*8760*$BH4</f>
        <v/>
      </c>
      <c r="JE4" s="45">
        <f>$HV4*$Y4*$Z4*$AA4*8760*$BI4</f>
        <v/>
      </c>
      <c r="JF4" s="45">
        <f>IF($AC4&gt;0,$AC4*$HK4,$HR4*$Y4*$AB4*12)*$BE4</f>
        <v/>
      </c>
      <c r="JG4" s="45">
        <f>IF($AC4&gt;0,$AC4*$HK4,$HS4*$Y4*$AB4*12)*$BF4</f>
        <v/>
      </c>
      <c r="JH4" s="45">
        <f>IF($AC4&gt;0,$AC4*$HK4,$HT4*$Y4*$AB4*12)*$BG4</f>
        <v/>
      </c>
      <c r="JI4" s="45">
        <f>IF($AC4&gt;0,$AC4*$HK4,$HU4*$Y4*$AB4*12)*$BH4</f>
        <v/>
      </c>
      <c r="JJ4" s="45">
        <f>IF($AC4&gt;0,$AC4*$HK4,$HV4*$Y4*$AB4*12)*$BI4</f>
        <v/>
      </c>
      <c r="JK4" s="45">
        <f>$HR4*$V4*$AD4*$BE4</f>
        <v/>
      </c>
      <c r="JL4" s="45">
        <f>$HS4*$V4*$AD4*$BF4</f>
        <v/>
      </c>
      <c r="JM4" s="45">
        <f>$HT4*$V4*$AD4*$BG4</f>
        <v/>
      </c>
      <c r="JN4" s="45">
        <f>$HU4*$V4*$AD4*$BH4</f>
        <v/>
      </c>
      <c r="JO4" s="45">
        <f>$HV4*$V4*$AD4*$BI4</f>
        <v/>
      </c>
      <c r="JP4" s="45">
        <f>$AE4*$BE4*$HK4</f>
        <v/>
      </c>
      <c r="JQ4" s="45">
        <f>$AE4*$BF4*$HK4</f>
        <v/>
      </c>
      <c r="JR4" s="45">
        <f>$AE4*$BG4*$HK4</f>
        <v/>
      </c>
      <c r="JS4" s="45">
        <f>$AE4*$BH4*$HK4</f>
        <v/>
      </c>
      <c r="JT4" s="45">
        <f>$AE4*$BI4*$HK4</f>
        <v/>
      </c>
      <c r="JU4" s="45">
        <f>$AQ4*$AG4*$BE4*$HK4</f>
        <v/>
      </c>
      <c r="JV4" s="45">
        <f>$AQ4*$AG4*$BF4*$HK4</f>
        <v/>
      </c>
      <c r="JW4" s="45">
        <f>$AQ4*$AG4*$BG4*$HK4</f>
        <v/>
      </c>
      <c r="JX4" s="45">
        <f>$AQ4*$AG4*$BH4*$HK4</f>
        <v/>
      </c>
      <c r="JY4" s="45">
        <f>$AQ4*$AG4*$BI4*$HK4</f>
        <v/>
      </c>
      <c r="JZ4" s="45">
        <f>$BU4*(1-$HJ4)/1000000*$CJ4</f>
        <v/>
      </c>
      <c r="KA4" s="45">
        <f>$BV4*(1-$HJ4)/1000000*$CK4</f>
        <v/>
      </c>
      <c r="KB4" s="45">
        <f>$BW4*(1-$HJ4)/1000000*$CL4</f>
        <v/>
      </c>
      <c r="KC4" s="45">
        <f>$BX4*(1-$HJ4)/1000000*$CM4</f>
        <v/>
      </c>
      <c r="KD4" s="45">
        <f>$BY4*(1-$HJ4)/1000000*$CN4</f>
        <v/>
      </c>
      <c r="KE4" s="45">
        <f>$CT4*$HL4</f>
        <v/>
      </c>
      <c r="KF4" s="45">
        <f>$CU4*$HL4</f>
        <v/>
      </c>
      <c r="KG4" s="45">
        <f>$CV4*$HL4</f>
        <v/>
      </c>
      <c r="KH4" s="45">
        <f>$CW4*$HL4</f>
        <v/>
      </c>
      <c r="KI4" s="45">
        <f>$CX4*$HL4</f>
        <v/>
      </c>
      <c r="KJ4" s="45">
        <f>IF(1=1,$R4*$HL4+$AH4*$HK4+$AK4,0)</f>
        <v/>
      </c>
      <c r="KK4" s="45">
        <f>IF(2=1,$R4*$HL4+$AH4*$HK4+$AK4,0)</f>
        <v/>
      </c>
      <c r="KL4" s="45">
        <f>IF(3=1,$R4*$HL4+$AH4*$HK4+$AK4,0)</f>
        <v/>
      </c>
      <c r="KM4" s="45">
        <f>IF(4=1,$R4*$HL4+$AH4*$HK4+$AK4,0)</f>
        <v/>
      </c>
      <c r="KN4" s="45">
        <f>IF(5=1,$R4*$HL4+$AH4*$HK4+$AK4,0)</f>
        <v/>
      </c>
      <c r="KO4" s="45">
        <f>$IV4+$JA4+$JF4+$JK4+$JP4+$JU4+$JZ4+$KE4+$KJ4</f>
        <v/>
      </c>
      <c r="KP4" s="45">
        <f>$IW4+$JB4+$JG4+$JL4+$JQ4+$JV4+$KA4+$KF4+$KK4</f>
        <v/>
      </c>
      <c r="KQ4" s="45">
        <f>$IX4+$JC4+$JH4+$JM4+$JR4+$JW4+$KB4+$KG4+$KL4</f>
        <v/>
      </c>
      <c r="KR4" s="45">
        <f>$IY4+$JD4+$JI4+$JN4+$JS4+$JX4+$KC4+$KH4+$KM4</f>
        <v/>
      </c>
      <c r="KS4" s="45">
        <f>$IZ4+$JE4+$JJ4+$JO4+$JT4+$JY4+$KD4+$KI4+$KN4</f>
        <v/>
      </c>
      <c r="KT4" s="45">
        <f>$IL4-$IQ4+$KJ4</f>
        <v/>
      </c>
      <c r="KU4" s="45">
        <f>$IM4-$IR4+$KK4</f>
        <v/>
      </c>
      <c r="KV4" s="45">
        <f>$IN4-$IS4+$KL4</f>
        <v/>
      </c>
      <c r="KW4" s="45">
        <f>$IO4-$IT4+$KM4</f>
        <v/>
      </c>
      <c r="KX4" s="45">
        <f>$IP4-$IU4+$KN4</f>
        <v/>
      </c>
      <c r="KY4" s="45">
        <f>$JA4+$JF4+$JK4+$JP4+$JU4+$JZ4+$KE4</f>
        <v/>
      </c>
      <c r="KZ4" s="45">
        <f>$JB4+$JG4+$JL4+$JQ4+$JV4+$KA4+$KF4</f>
        <v/>
      </c>
      <c r="LA4" s="45">
        <f>$JC4+$JH4+$JM4+$JR4+$JW4+$KB4+$KG4</f>
        <v/>
      </c>
      <c r="LB4" s="45">
        <f>$JD4+$JI4+$JN4+$JS4+$JX4+$KC4+$KH4</f>
        <v/>
      </c>
      <c r="LC4" s="45">
        <f>$JE4+$JJ4+$JO4+$JT4+$JY4+$KD4+$KI4</f>
        <v/>
      </c>
      <c r="LD4" s="45">
        <f>((1&lt;=$AX4)*(1&gt;$AX4-$AY4))*$IG4*$V4*MAX(0,1-(1-$X4)*($AX4-1+1)/$AY4)+((2&lt;=$AX4)*(2&gt;$AX4-$AY4))*$IH4*$V4*MAX(0,1-(1-$X4)*($AX4-2+1)/$AY4)+((3&lt;=$AX4)*(3&gt;$AX4-$AY4))*$II4*$V4*MAX(0,1-(1-$X4)*($AX4-3+1)/$AY4)+((4&lt;=$AX4)*(4&gt;$AX4-$AY4))*$IJ4*$V4*MAX(0,1-(1-$X4)*($AX4-4+1)/$AY4)+((5&lt;=$AX4)*(5&gt;$AX4-$AY4))*$IK4*$V4*MAX(0,1-(1-$X4)*($AX4-5+1)/$AY4)</f>
        <v/>
      </c>
      <c r="LE4" s="45">
        <f>SUMPRODUCT($AZ4:$BD4,$KO4:$KS4)</f>
        <v/>
      </c>
      <c r="LF4" s="45">
        <f>SUM($KO4:$KQ4)</f>
        <v/>
      </c>
      <c r="LG4" s="45">
        <f>SUM($KO4:$KS4)</f>
        <v/>
      </c>
      <c r="LH4" s="45">
        <f>SUMPRODUCT($AZ4:$BD4,$KT4:$KX4,$BJ4:$BN4)+SUMPRODUCT($AZ4:$BD4,$KY4:$LC4,$BO4:$BS4)-$LD4/(1+$AM4)^$AX4</f>
        <v/>
      </c>
      <c r="LI4" s="43">
        <f>$BU4/1000000</f>
        <v/>
      </c>
      <c r="LJ4" s="44">
        <f>IF($LI4&gt;0,$DD4/$LI4,0)</f>
        <v/>
      </c>
      <c r="LK4" s="44">
        <f>IF($LI4&gt;0,$GP4/$LI4,0)</f>
        <v/>
      </c>
      <c r="LL4" s="44">
        <f>IF($LI4&gt;0,$KO4/$LI4,0)</f>
        <v/>
      </c>
      <c r="LM4" s="43">
        <f>$AP4*31536000/1000000</f>
        <v/>
      </c>
      <c r="LN4" s="43">
        <f>$EC4*$LM4</f>
        <v/>
      </c>
      <c r="LO4" s="45">
        <f>$FG4+$FL4+$FQ4+$FV4+$GA4+$GF4</f>
        <v/>
      </c>
      <c r="LP4" s="46">
        <f>IF($LN4*$CJ4&gt;0,MAX(0,($LO4-$CT4)/($LN4*$CJ4)),0)</f>
        <v/>
      </c>
      <c r="LQ4" s="46">
        <f>IF($LN4&gt;0,$LI4/$LN4,0)</f>
        <v/>
      </c>
      <c r="LR4" s="46">
        <f>1/($M4*$AI4)</f>
        <v/>
      </c>
      <c r="LS4" s="43">
        <f>$HR4*$LM4</f>
        <v/>
      </c>
      <c r="LT4" s="45">
        <f>$IV4+$JA4+$JF4+$JK4+$JP4+$JU4</f>
        <v/>
      </c>
      <c r="LU4" s="46">
        <f>IF($LS4*$CJ4&gt;0,$LT4/($LS4*$CJ4),0)</f>
        <v/>
      </c>
      <c r="LV4" s="46">
        <f>IF($LS4&gt;0,$LI4*$HJ4/$LS4,0)</f>
        <v/>
      </c>
      <c r="LW4" s="45">
        <f>$V4*(1-$X4)/$AY4+$Y4*$Z4*$AA4*8760+IF($AC4&gt;0,0,$Y4*$AB4*12)+$V4*$AD4</f>
        <v/>
      </c>
      <c r="LX4" s="46">
        <f>IF($LM4*$CJ4&gt;0,$LW4/($LM4*$CJ4),0)</f>
        <v/>
      </c>
      <c r="LY4" s="44">
        <f>IF($LM4*$LR4&gt;0,$LW4/($LM4*$LR4),0)</f>
        <v/>
      </c>
      <c r="LZ4" s="45">
        <f>$AE4+$AF4*$AG4+IF($AC4&gt;0,$AC4,0)-$CT4</f>
        <v/>
      </c>
      <c r="MA4" s="43">
        <f>IF($CJ4&gt;$LY4,MAX(0,$LZ4)/($CJ4-$LY4)*1000000,"Not reachable")</f>
        <v/>
      </c>
      <c r="MB4" s="47">
        <f>IF(AND(ISNUMBER($MA4),$BU4&gt;0),$MA4/$BU4,"n/a")</f>
        <v/>
      </c>
      <c r="MC4" s="47">
        <f>$B4*MAX(0,$D4-1)*$E4</f>
        <v/>
      </c>
      <c r="MD4" s="45">
        <f>$MC4*$C4</f>
        <v/>
      </c>
      <c r="ME4" s="45">
        <f>$MD4*SUMPRODUCT($AZ4:$BD4,$BO4:$BS4)</f>
        <v/>
      </c>
      <c r="MF4" s="45">
        <f>IF($AO4="Yes",$ME4-$DW4,0)</f>
        <v/>
      </c>
      <c r="MG4" s="45">
        <f>IF($AO4="Yes",$ME4-$HI4,0)</f>
        <v/>
      </c>
      <c r="MH4" s="45">
        <f>IF($AO4="Yes",$ME4-$LH4,0)</f>
        <v/>
      </c>
      <c r="MI4" s="45">
        <f>IF($AO4="Yes",$MD4-$DD4,0)</f>
        <v/>
      </c>
      <c r="MJ4" s="25">
        <f>IF(AND($DW4&lt;=$HI4,$DW4&lt;=$LH4),"Rent the Frontier",IF($HI4&lt;=$LH4,"Own the Frontier","Hybrid"))</f>
        <v/>
      </c>
      <c r="MK4" s="25">
        <f>IF(AND($DT4&lt;=$HF4,$DT4&lt;=$LE4),"Rent the Frontier",IF($HF4&lt;=$LE4,"Own the Frontier","Hybrid"))</f>
        <v/>
      </c>
    </row>
    <row r="5">
      <c r="A5" s="25">
        <f>Sensitivity!A8&amp;" ("&amp;Sensitivity!C8&amp;")"</f>
        <v/>
      </c>
      <c r="B5" s="25">
        <f>Inputs!$B$5</f>
        <v/>
      </c>
      <c r="C5" s="25">
        <f>Inputs!$B$6</f>
        <v/>
      </c>
      <c r="D5" s="25">
        <f>Inputs!$B$7*Sensitivity!$D$8</f>
        <v/>
      </c>
      <c r="E5" s="25">
        <f>Inputs!$B$8</f>
        <v/>
      </c>
      <c r="F5" s="25">
        <f>Inputs!$B$12</f>
        <v/>
      </c>
      <c r="G5" s="25">
        <f>Inputs!$B$13</f>
        <v/>
      </c>
      <c r="H5" s="25">
        <f>Inputs!$B$14</f>
        <v/>
      </c>
      <c r="I5" s="25">
        <f>Inputs!$B$18</f>
        <v/>
      </c>
      <c r="J5" s="25">
        <f>Inputs!$B$19</f>
        <v/>
      </c>
      <c r="K5" s="25">
        <f>Inputs!$B$20</f>
        <v/>
      </c>
      <c r="L5" s="25">
        <f>Inputs!$B$21</f>
        <v/>
      </c>
      <c r="M5" s="25">
        <f>Inputs!$B$22</f>
        <v/>
      </c>
      <c r="N5" s="25">
        <f>Inputs!$B$23</f>
        <v/>
      </c>
      <c r="O5" s="25">
        <f>Inputs!$B$26</f>
        <v/>
      </c>
      <c r="P5" s="25">
        <f>Inputs!$B$27</f>
        <v/>
      </c>
      <c r="Q5" s="25">
        <f>Inputs!$B$28</f>
        <v/>
      </c>
      <c r="R5" s="25">
        <f>Inputs!$B$29</f>
        <v/>
      </c>
      <c r="S5" s="25">
        <f>Inputs!$B$30</f>
        <v/>
      </c>
      <c r="T5" s="25">
        <f>Inputs!$B$31</f>
        <v/>
      </c>
      <c r="U5" s="25">
        <f>Inputs!$B$32</f>
        <v/>
      </c>
      <c r="V5" s="25">
        <f>Inputs!$B$35</f>
        <v/>
      </c>
      <c r="W5" s="25">
        <f>Inputs!$B$36</f>
        <v/>
      </c>
      <c r="X5" s="25">
        <f>Inputs!$B$37</f>
        <v/>
      </c>
      <c r="Y5" s="25">
        <f>Inputs!$B$38</f>
        <v/>
      </c>
      <c r="Z5" s="25">
        <f>Inputs!$B$39</f>
        <v/>
      </c>
      <c r="AA5" s="25">
        <f>Inputs!$B$40</f>
        <v/>
      </c>
      <c r="AB5" s="25">
        <f>Inputs!$B$41</f>
        <v/>
      </c>
      <c r="AC5" s="25">
        <f>Inputs!$B$42</f>
        <v/>
      </c>
      <c r="AD5" s="25">
        <f>Inputs!$B$43</f>
        <v/>
      </c>
      <c r="AE5" s="25">
        <f>Inputs!$B$44</f>
        <v/>
      </c>
      <c r="AF5" s="25">
        <f>Inputs!$B$45</f>
        <v/>
      </c>
      <c r="AG5" s="25">
        <f>Inputs!$B$46</f>
        <v/>
      </c>
      <c r="AH5" s="25">
        <f>Inputs!$B$47</f>
        <v/>
      </c>
      <c r="AI5" s="25">
        <f>Inputs!$B$48</f>
        <v/>
      </c>
      <c r="AJ5" s="25">
        <f>IF(ISNUMBER(Inputs!$B$51),Inputs!$B$51,"")</f>
        <v/>
      </c>
      <c r="AK5" s="25">
        <f>Inputs!$B$52</f>
        <v/>
      </c>
      <c r="AL5" s="25">
        <f>Inputs!$B$55</f>
        <v/>
      </c>
      <c r="AM5" s="25">
        <f>Inputs!$B$56</f>
        <v/>
      </c>
      <c r="AN5" s="25">
        <f>Inputs!$B$57</f>
        <v/>
      </c>
      <c r="AO5" s="25">
        <f>Inputs!$B$58</f>
        <v/>
      </c>
      <c r="AP5" s="25">
        <f>Inputs!$B$61</f>
        <v/>
      </c>
      <c r="AQ5" s="25">
        <f>Inputs!$B$62</f>
        <v/>
      </c>
      <c r="AR5" s="25">
        <f>1</f>
        <v/>
      </c>
      <c r="AS5" s="25" t="n">
        <v>1</v>
      </c>
      <c r="AT5" s="25" t="n">
        <v>2</v>
      </c>
      <c r="AU5" s="25" t="n">
        <v>3</v>
      </c>
      <c r="AV5" s="25" t="n">
        <v>4</v>
      </c>
      <c r="AW5" s="25" t="n">
        <v>5</v>
      </c>
      <c r="AX5" s="25">
        <f>MIN(5,MAX(1,ROUND($AL5,0)))</f>
        <v/>
      </c>
      <c r="AY5" s="25">
        <f>MAX(1,ROUND($W5,0))</f>
        <v/>
      </c>
      <c r="AZ5" s="25">
        <f>IF(1&lt;=$AX5,1,0)</f>
        <v/>
      </c>
      <c r="BA5" s="25">
        <f>IF(2&lt;=$AX5,1,0)</f>
        <v/>
      </c>
      <c r="BB5" s="25">
        <f>IF(3&lt;=$AX5,1,0)</f>
        <v/>
      </c>
      <c r="BC5" s="25">
        <f>IF(4&lt;=$AX5,1,0)</f>
        <v/>
      </c>
      <c r="BD5" s="25">
        <f>IF(5&lt;=$AX5,1,0)</f>
        <v/>
      </c>
      <c r="BE5" s="52">
        <f>(1+$AN5)^(1-1)</f>
        <v/>
      </c>
      <c r="BF5" s="52">
        <f>(1+$AN5)^(2-1)</f>
        <v/>
      </c>
      <c r="BG5" s="52">
        <f>(1+$AN5)^(3-1)</f>
        <v/>
      </c>
      <c r="BH5" s="52">
        <f>(1+$AN5)^(4-1)</f>
        <v/>
      </c>
      <c r="BI5" s="52">
        <f>(1+$AN5)^(5-1)</f>
        <v/>
      </c>
      <c r="BJ5" s="53">
        <f>1/(1+$AM5)^(1-1)</f>
        <v/>
      </c>
      <c r="BK5" s="53">
        <f>1/(1+$AM5)^(2-1)</f>
        <v/>
      </c>
      <c r="BL5" s="53">
        <f>1/(1+$AM5)^(3-1)</f>
        <v/>
      </c>
      <c r="BM5" s="53">
        <f>1/(1+$AM5)^(4-1)</f>
        <v/>
      </c>
      <c r="BN5" s="53">
        <f>1/(1+$AM5)^(5-1)</f>
        <v/>
      </c>
      <c r="BO5" s="53">
        <f>1/(1+$AM5)^1</f>
        <v/>
      </c>
      <c r="BP5" s="53">
        <f>1/(1+$AM5)^2</f>
        <v/>
      </c>
      <c r="BQ5" s="53">
        <f>1/(1+$AM5)^3</f>
        <v/>
      </c>
      <c r="BR5" s="53">
        <f>1/(1+$AM5)^4</f>
        <v/>
      </c>
      <c r="BS5" s="53">
        <f>1/(1+$AM5)^5</f>
        <v/>
      </c>
      <c r="BT5" s="43">
        <f>IF(AND($I5="Direct monthly estimate",$J5&gt;0),$J5,$D5*$K5*$L5)</f>
        <v/>
      </c>
      <c r="BU5" s="43">
        <f>$BT5*$B5*12*(1+$N5)^(1-1)</f>
        <v/>
      </c>
      <c r="BV5" s="43">
        <f>$BT5*$B5*12*(1+$N5)^(2-1)</f>
        <v/>
      </c>
      <c r="BW5" s="43">
        <f>$BT5*$B5*12*(1+$N5)^(3-1)</f>
        <v/>
      </c>
      <c r="BX5" s="43">
        <f>$BT5*$B5*12*(1+$N5)^(4-1)</f>
        <v/>
      </c>
      <c r="BY5" s="43">
        <f>$BT5*$B5*12*(1+$N5)^(5-1)</f>
        <v/>
      </c>
      <c r="BZ5" s="43">
        <f>$BU5/31536000*$M5</f>
        <v/>
      </c>
      <c r="CA5" s="43">
        <f>$BV5/31536000*$M5</f>
        <v/>
      </c>
      <c r="CB5" s="43">
        <f>$BW5/31536000*$M5</f>
        <v/>
      </c>
      <c r="CC5" s="43">
        <f>$BX5/31536000*$M5</f>
        <v/>
      </c>
      <c r="CD5" s="43">
        <f>$BY5/31536000*$M5</f>
        <v/>
      </c>
      <c r="CE5" s="43">
        <f>$BZ5*$AI5</f>
        <v/>
      </c>
      <c r="CF5" s="43">
        <f>$CA5*$AI5</f>
        <v/>
      </c>
      <c r="CG5" s="43">
        <f>$CB5*$AI5</f>
        <v/>
      </c>
      <c r="CH5" s="43">
        <f>$CC5*$AI5</f>
        <v/>
      </c>
      <c r="CI5" s="43">
        <f>$CD5*$AI5</f>
        <v/>
      </c>
      <c r="CJ5" s="44">
        <f>$O5*(1-$Q5)*(1-$P5)^(1-1)</f>
        <v/>
      </c>
      <c r="CK5" s="44">
        <f>$O5*(1-$Q5)*(1-$P5)^(2-1)</f>
        <v/>
      </c>
      <c r="CL5" s="44">
        <f>$O5*(1-$Q5)*(1-$P5)^(3-1)</f>
        <v/>
      </c>
      <c r="CM5" s="44">
        <f>$O5*(1-$Q5)*(1-$P5)^(4-1)</f>
        <v/>
      </c>
      <c r="CN5" s="44">
        <f>$O5*(1-$Q5)*(1-$P5)^(5-1)</f>
        <v/>
      </c>
      <c r="CO5" s="45">
        <f>$BU5/1000000*$CJ5</f>
        <v/>
      </c>
      <c r="CP5" s="45">
        <f>$BV5/1000000*$CK5</f>
        <v/>
      </c>
      <c r="CQ5" s="45">
        <f>$BW5/1000000*$CL5</f>
        <v/>
      </c>
      <c r="CR5" s="45">
        <f>$BX5/1000000*$CM5</f>
        <v/>
      </c>
      <c r="CS5" s="45">
        <f>$BY5/1000000*$CN5</f>
        <v/>
      </c>
      <c r="CT5" s="45">
        <f>($T5*$U5+$S5)*$BE5</f>
        <v/>
      </c>
      <c r="CU5" s="45">
        <f>($T5*$U5+$S5)*$BF5</f>
        <v/>
      </c>
      <c r="CV5" s="45">
        <f>($T5*$U5+$S5)*$BG5</f>
        <v/>
      </c>
      <c r="CW5" s="45">
        <f>($T5*$U5+$S5)*$BH5</f>
        <v/>
      </c>
      <c r="CX5" s="45">
        <f>($T5*$U5+$S5)*$BI5</f>
        <v/>
      </c>
      <c r="CY5" s="45">
        <f>IF(1=1,$R5,0)</f>
        <v/>
      </c>
      <c r="CZ5" s="45">
        <f>IF(2=1,$R5,0)</f>
        <v/>
      </c>
      <c r="DA5" s="45">
        <f>IF(3=1,$R5,0)</f>
        <v/>
      </c>
      <c r="DB5" s="45">
        <f>IF(4=1,$R5,0)</f>
        <v/>
      </c>
      <c r="DC5" s="45">
        <f>IF(5=1,$R5,0)</f>
        <v/>
      </c>
      <c r="DD5" s="45">
        <f>$CO5+$CT5+$CY5</f>
        <v/>
      </c>
      <c r="DE5" s="45">
        <f>$CP5+$CU5+$CZ5</f>
        <v/>
      </c>
      <c r="DF5" s="45">
        <f>$CQ5+$CV5+$DA5</f>
        <v/>
      </c>
      <c r="DG5" s="45">
        <f>$CR5+$CW5+$DB5</f>
        <v/>
      </c>
      <c r="DH5" s="45">
        <f>$CS5+$CX5+$DC5</f>
        <v/>
      </c>
      <c r="DI5" s="45">
        <f>$CY5</f>
        <v/>
      </c>
      <c r="DJ5" s="45">
        <f>$CZ5</f>
        <v/>
      </c>
      <c r="DK5" s="45">
        <f>$DA5</f>
        <v/>
      </c>
      <c r="DL5" s="45">
        <f>$DB5</f>
        <v/>
      </c>
      <c r="DM5" s="45">
        <f>$DC5</f>
        <v/>
      </c>
      <c r="DN5" s="45">
        <f>$CO5+$CT5</f>
        <v/>
      </c>
      <c r="DO5" s="45">
        <f>$CP5+$CU5</f>
        <v/>
      </c>
      <c r="DP5" s="45">
        <f>$CQ5+$CV5</f>
        <v/>
      </c>
      <c r="DQ5" s="45">
        <f>$CR5+$CW5</f>
        <v/>
      </c>
      <c r="DR5" s="45">
        <f>$CS5+$CX5</f>
        <v/>
      </c>
      <c r="DS5" s="45">
        <f>0</f>
        <v/>
      </c>
      <c r="DT5" s="45">
        <f>SUMPRODUCT($AZ5:$BD5,$DD5:$DH5)</f>
        <v/>
      </c>
      <c r="DU5" s="45">
        <f>SUM($DD5:$DF5)</f>
        <v/>
      </c>
      <c r="DV5" s="45">
        <f>SUM($DD5:$DH5)</f>
        <v/>
      </c>
      <c r="DW5" s="45">
        <f>SUMPRODUCT($AZ5:$BD5,$DI5:$DM5,$BJ5:$BN5)+SUMPRODUCT($AZ5:$BD5,$DN5:$DR5,$BO5:$BS5)-$DS5/(1+$AM5)^$AX5</f>
        <v/>
      </c>
      <c r="DX5" s="43">
        <f>IF($CE5&gt;0,ROUNDUP($CE5/$AP5,0),0)</f>
        <v/>
      </c>
      <c r="DY5" s="43">
        <f>IF($CF5&gt;0,ROUNDUP($CF5/$AP5,0),0)</f>
        <v/>
      </c>
      <c r="DZ5" s="43">
        <f>IF($CG5&gt;0,ROUNDUP($CG5/$AP5,0),0)</f>
        <v/>
      </c>
      <c r="EA5" s="43">
        <f>IF($CH5&gt;0,ROUNDUP($CH5/$AP5,0),0)</f>
        <v/>
      </c>
      <c r="EB5" s="43">
        <f>IF($CI5&gt;0,ROUNDUP($CI5/$AP5,0),0)</f>
        <v/>
      </c>
      <c r="EC5" s="43">
        <f>MAX($DX5,0)</f>
        <v/>
      </c>
      <c r="ED5" s="43">
        <f>MAX($DY5,$EC5)</f>
        <v/>
      </c>
      <c r="EE5" s="43">
        <f>MAX($DZ5,$ED5)</f>
        <v/>
      </c>
      <c r="EF5" s="43">
        <f>MAX($EA5,$EE5)</f>
        <v/>
      </c>
      <c r="EG5" s="43">
        <f>MAX($EB5,$EF5)</f>
        <v/>
      </c>
      <c r="EH5" s="43">
        <f>$EC5-0</f>
        <v/>
      </c>
      <c r="EI5" s="43">
        <f>$ED5-$EC5</f>
        <v/>
      </c>
      <c r="EJ5" s="43">
        <f>$EE5-$ED5</f>
        <v/>
      </c>
      <c r="EK5" s="43">
        <f>$EF5-$EE5</f>
        <v/>
      </c>
      <c r="EL5" s="43">
        <f>$EG5-$EF5</f>
        <v/>
      </c>
      <c r="EM5" s="43">
        <f>0</f>
        <v/>
      </c>
      <c r="EN5" s="43">
        <f>(1+$AY5=2)*$ER5</f>
        <v/>
      </c>
      <c r="EO5" s="43">
        <f>(1+$AY5=3)*$ER5+(2+$AY5=3)*$ES5</f>
        <v/>
      </c>
      <c r="EP5" s="43">
        <f>(1+$AY5=4)*$ER5+(2+$AY5=4)*$ES5+(3+$AY5=4)*$ET5</f>
        <v/>
      </c>
      <c r="EQ5" s="43">
        <f>(1+$AY5=5)*$ER5+(2+$AY5=5)*$ES5+(3+$AY5=5)*$ET5+(4+$AY5=5)*$EU5</f>
        <v/>
      </c>
      <c r="ER5" s="43">
        <f>$EH5+$EM5</f>
        <v/>
      </c>
      <c r="ES5" s="43">
        <f>$EI5+$EN5</f>
        <v/>
      </c>
      <c r="ET5" s="43">
        <f>$EJ5+$EO5</f>
        <v/>
      </c>
      <c r="EU5" s="43">
        <f>$EK5+$EP5</f>
        <v/>
      </c>
      <c r="EV5" s="43">
        <f>$EL5+$EQ5</f>
        <v/>
      </c>
      <c r="EW5" s="45">
        <f>$ER5*$V5</f>
        <v/>
      </c>
      <c r="EX5" s="45">
        <f>$ES5*$V5</f>
        <v/>
      </c>
      <c r="EY5" s="45">
        <f>$ET5*$V5</f>
        <v/>
      </c>
      <c r="EZ5" s="45">
        <f>$EU5*$V5</f>
        <v/>
      </c>
      <c r="FA5" s="45">
        <f>$EV5*$V5</f>
        <v/>
      </c>
      <c r="FB5" s="45">
        <f>$EM5*$V5*$X5</f>
        <v/>
      </c>
      <c r="FC5" s="45">
        <f>$EN5*$V5*$X5</f>
        <v/>
      </c>
      <c r="FD5" s="45">
        <f>$EO5*$V5*$X5</f>
        <v/>
      </c>
      <c r="FE5" s="45">
        <f>$EP5*$V5*$X5</f>
        <v/>
      </c>
      <c r="FF5" s="45">
        <f>$EQ5*$V5*$X5</f>
        <v/>
      </c>
      <c r="FG5" s="45">
        <f>$EC5*$V5*(1-$X5)/$AY5</f>
        <v/>
      </c>
      <c r="FH5" s="45">
        <f>$ED5*$V5*(1-$X5)/$AY5</f>
        <v/>
      </c>
      <c r="FI5" s="45">
        <f>$EE5*$V5*(1-$X5)/$AY5</f>
        <v/>
      </c>
      <c r="FJ5" s="45">
        <f>$EF5*$V5*(1-$X5)/$AY5</f>
        <v/>
      </c>
      <c r="FK5" s="45">
        <f>$EG5*$V5*(1-$X5)/$AY5</f>
        <v/>
      </c>
      <c r="FL5" s="45">
        <f>$EC5*$Y5*$Z5*$AA5*8760*$BE5</f>
        <v/>
      </c>
      <c r="FM5" s="45">
        <f>$ED5*$Y5*$Z5*$AA5*8760*$BF5</f>
        <v/>
      </c>
      <c r="FN5" s="45">
        <f>$EE5*$Y5*$Z5*$AA5*8760*$BG5</f>
        <v/>
      </c>
      <c r="FO5" s="45">
        <f>$EF5*$Y5*$Z5*$AA5*8760*$BH5</f>
        <v/>
      </c>
      <c r="FP5" s="45">
        <f>$EG5*$Y5*$Z5*$AA5*8760*$BI5</f>
        <v/>
      </c>
      <c r="FQ5" s="45">
        <f>IF($AC5&gt;0,$AC5,$EC5*$Y5*$AB5*12)*$BE5</f>
        <v/>
      </c>
      <c r="FR5" s="45">
        <f>IF($AC5&gt;0,$AC5,$ED5*$Y5*$AB5*12)*$BF5</f>
        <v/>
      </c>
      <c r="FS5" s="45">
        <f>IF($AC5&gt;0,$AC5,$EE5*$Y5*$AB5*12)*$BG5</f>
        <v/>
      </c>
      <c r="FT5" s="45">
        <f>IF($AC5&gt;0,$AC5,$EF5*$Y5*$AB5*12)*$BH5</f>
        <v/>
      </c>
      <c r="FU5" s="45">
        <f>IF($AC5&gt;0,$AC5,$EG5*$Y5*$AB5*12)*$BI5</f>
        <v/>
      </c>
      <c r="FV5" s="45">
        <f>$EC5*$V5*$AD5*$BE5</f>
        <v/>
      </c>
      <c r="FW5" s="45">
        <f>$ED5*$V5*$AD5*$BF5</f>
        <v/>
      </c>
      <c r="FX5" s="45">
        <f>$EE5*$V5*$AD5*$BG5</f>
        <v/>
      </c>
      <c r="FY5" s="45">
        <f>$EF5*$V5*$AD5*$BH5</f>
        <v/>
      </c>
      <c r="FZ5" s="45">
        <f>$EG5*$V5*$AD5*$BI5</f>
        <v/>
      </c>
      <c r="GA5" s="45">
        <f>$AE5*$BE5</f>
        <v/>
      </c>
      <c r="GB5" s="45">
        <f>$AE5*$BF5</f>
        <v/>
      </c>
      <c r="GC5" s="45">
        <f>$AE5*$BG5</f>
        <v/>
      </c>
      <c r="GD5" s="45">
        <f>$AE5*$BH5</f>
        <v/>
      </c>
      <c r="GE5" s="45">
        <f>$AE5*$BI5</f>
        <v/>
      </c>
      <c r="GF5" s="45">
        <f>$AF5*$AG5*$BE5</f>
        <v/>
      </c>
      <c r="GG5" s="45">
        <f>$AF5*$AG5*$BF5</f>
        <v/>
      </c>
      <c r="GH5" s="45">
        <f>$AF5*$AG5*$BG5</f>
        <v/>
      </c>
      <c r="GI5" s="45">
        <f>$AF5*$AG5*$BH5</f>
        <v/>
      </c>
      <c r="GJ5" s="45">
        <f>$AF5*$AG5*$BI5</f>
        <v/>
      </c>
      <c r="GK5" s="45">
        <f>IF(1=1,$AH5,0)</f>
        <v/>
      </c>
      <c r="GL5" s="45">
        <f>IF(2=1,$AH5,0)</f>
        <v/>
      </c>
      <c r="GM5" s="45">
        <f>IF(3=1,$AH5,0)</f>
        <v/>
      </c>
      <c r="GN5" s="45">
        <f>IF(4=1,$AH5,0)</f>
        <v/>
      </c>
      <c r="GO5" s="45">
        <f>IF(5=1,$AH5,0)</f>
        <v/>
      </c>
      <c r="GP5" s="45">
        <f>$FG5+$FL5+$FQ5+$FV5+$GA5+$GF5+$GK5</f>
        <v/>
      </c>
      <c r="GQ5" s="45">
        <f>$FH5+$FM5+$FR5+$FW5+$GB5+$GG5+$GL5</f>
        <v/>
      </c>
      <c r="GR5" s="45">
        <f>$FI5+$FN5+$FS5+$FX5+$GC5+$GH5+$GM5</f>
        <v/>
      </c>
      <c r="GS5" s="45">
        <f>$FJ5+$FO5+$FT5+$FY5+$GD5+$GI5+$GN5</f>
        <v/>
      </c>
      <c r="GT5" s="45">
        <f>$FK5+$FP5+$FU5+$FZ5+$GE5+$GJ5+$GO5</f>
        <v/>
      </c>
      <c r="GU5" s="45">
        <f>$EW5-$FB5+$GK5</f>
        <v/>
      </c>
      <c r="GV5" s="45">
        <f>$EX5-$FC5+$GL5</f>
        <v/>
      </c>
      <c r="GW5" s="45">
        <f>$EY5-$FD5+$GM5</f>
        <v/>
      </c>
      <c r="GX5" s="45">
        <f>$EZ5-$FE5+$GN5</f>
        <v/>
      </c>
      <c r="GY5" s="45">
        <f>$FA5-$FF5+$GO5</f>
        <v/>
      </c>
      <c r="GZ5" s="45">
        <f>$FL5+$FQ5+$FV5+$GA5+$GF5</f>
        <v/>
      </c>
      <c r="HA5" s="45">
        <f>$FM5+$FR5+$FW5+$GB5+$GG5</f>
        <v/>
      </c>
      <c r="HB5" s="45">
        <f>$FN5+$FS5+$FX5+$GC5+$GH5</f>
        <v/>
      </c>
      <c r="HC5" s="45">
        <f>$FO5+$FT5+$FY5+$GD5+$GI5</f>
        <v/>
      </c>
      <c r="HD5" s="45">
        <f>$FP5+$FU5+$FZ5+$GE5+$GJ5</f>
        <v/>
      </c>
      <c r="HE5" s="45">
        <f>((1&lt;=$AX5)*(1&gt;$AX5-$AY5))*$ER5*$V5*MAX(0,1-(1-$X5)*($AX5-1+1)/$AY5)+((2&lt;=$AX5)*(2&gt;$AX5-$AY5))*$ES5*$V5*MAX(0,1-(1-$X5)*($AX5-2+1)/$AY5)+((3&lt;=$AX5)*(3&gt;$AX5-$AY5))*$ET5*$V5*MAX(0,1-(1-$X5)*($AX5-3+1)/$AY5)+((4&lt;=$AX5)*(4&gt;$AX5-$AY5))*$EU5*$V5*MAX(0,1-(1-$X5)*($AX5-4+1)/$AY5)+((5&lt;=$AX5)*(5&gt;$AX5-$AY5))*$EV5*$V5*MAX(0,1-(1-$X5)*($AX5-5+1)/$AY5)</f>
        <v/>
      </c>
      <c r="HF5" s="45">
        <f>SUMPRODUCT($AZ5:$BD5,$GP5:$GT5)</f>
        <v/>
      </c>
      <c r="HG5" s="45">
        <f>SUM($GP5:$GR5)</f>
        <v/>
      </c>
      <c r="HH5" s="45">
        <f>SUM($GP5:$GT5)</f>
        <v/>
      </c>
      <c r="HI5" s="45">
        <f>SUMPRODUCT($AZ5:$BD5,$GU5:$GY5,$BJ5:$BN5)+SUMPRODUCT($AZ5:$BD5,$GZ5:$HD5,$BO5:$BS5)-$HE5/(1+$AM5)^$AX5</f>
        <v/>
      </c>
      <c r="HJ5" s="46">
        <f>MIN(1,MAX(0,IF(ISNUMBER($AJ5),$AJ5,IF($F5+$G5+$H5&gt;0,($G5+$H5)/($F5+$G5+$H5),0))*$AR5))</f>
        <v/>
      </c>
      <c r="HK5" s="25">
        <f>IF($HJ5&gt;0,1,0)</f>
        <v/>
      </c>
      <c r="HL5" s="25">
        <f>IF($HJ5&lt;1,1,0)</f>
        <v/>
      </c>
      <c r="HM5" s="43">
        <f>IF($CE5*$HJ5&gt;0,ROUNDUP($CE5*$HJ5/$AP5,0),0)</f>
        <v/>
      </c>
      <c r="HN5" s="43">
        <f>IF($CF5*$HJ5&gt;0,ROUNDUP($CF5*$HJ5/$AP5,0),0)</f>
        <v/>
      </c>
      <c r="HO5" s="43">
        <f>IF($CG5*$HJ5&gt;0,ROUNDUP($CG5*$HJ5/$AP5,0),0)</f>
        <v/>
      </c>
      <c r="HP5" s="43">
        <f>IF($CH5*$HJ5&gt;0,ROUNDUP($CH5*$HJ5/$AP5,0),0)</f>
        <v/>
      </c>
      <c r="HQ5" s="43">
        <f>IF($CI5*$HJ5&gt;0,ROUNDUP($CI5*$HJ5/$AP5,0),0)</f>
        <v/>
      </c>
      <c r="HR5" s="43">
        <f>MAX($HM5,0)</f>
        <v/>
      </c>
      <c r="HS5" s="43">
        <f>MAX($HN5,$HR5)</f>
        <v/>
      </c>
      <c r="HT5" s="43">
        <f>MAX($HO5,$HS5)</f>
        <v/>
      </c>
      <c r="HU5" s="43">
        <f>MAX($HP5,$HT5)</f>
        <v/>
      </c>
      <c r="HV5" s="43">
        <f>MAX($HQ5,$HU5)</f>
        <v/>
      </c>
      <c r="HW5" s="43">
        <f>$HR5-0</f>
        <v/>
      </c>
      <c r="HX5" s="43">
        <f>$HS5-$HR5</f>
        <v/>
      </c>
      <c r="HY5" s="43">
        <f>$HT5-$HS5</f>
        <v/>
      </c>
      <c r="HZ5" s="43">
        <f>$HU5-$HT5</f>
        <v/>
      </c>
      <c r="IA5" s="43">
        <f>$HV5-$HU5</f>
        <v/>
      </c>
      <c r="IB5" s="43">
        <f>0</f>
        <v/>
      </c>
      <c r="IC5" s="43">
        <f>(1+$AY5=2)*$IG5</f>
        <v/>
      </c>
      <c r="ID5" s="43">
        <f>(1+$AY5=3)*$IG5+(2+$AY5=3)*$IH5</f>
        <v/>
      </c>
      <c r="IE5" s="43">
        <f>(1+$AY5=4)*$IG5+(2+$AY5=4)*$IH5+(3+$AY5=4)*$II5</f>
        <v/>
      </c>
      <c r="IF5" s="43">
        <f>(1+$AY5=5)*$IG5+(2+$AY5=5)*$IH5+(3+$AY5=5)*$II5+(4+$AY5=5)*$IJ5</f>
        <v/>
      </c>
      <c r="IG5" s="43">
        <f>$HW5+$IB5</f>
        <v/>
      </c>
      <c r="IH5" s="43">
        <f>$HX5+$IC5</f>
        <v/>
      </c>
      <c r="II5" s="43">
        <f>$HY5+$ID5</f>
        <v/>
      </c>
      <c r="IJ5" s="43">
        <f>$HZ5+$IE5</f>
        <v/>
      </c>
      <c r="IK5" s="43">
        <f>$IA5+$IF5</f>
        <v/>
      </c>
      <c r="IL5" s="45">
        <f>$IG5*$V5</f>
        <v/>
      </c>
      <c r="IM5" s="45">
        <f>$IH5*$V5</f>
        <v/>
      </c>
      <c r="IN5" s="45">
        <f>$II5*$V5</f>
        <v/>
      </c>
      <c r="IO5" s="45">
        <f>$IJ5*$V5</f>
        <v/>
      </c>
      <c r="IP5" s="45">
        <f>$IK5*$V5</f>
        <v/>
      </c>
      <c r="IQ5" s="45">
        <f>$IB5*$V5*$X5</f>
        <v/>
      </c>
      <c r="IR5" s="45">
        <f>$IC5*$V5*$X5</f>
        <v/>
      </c>
      <c r="IS5" s="45">
        <f>$ID5*$V5*$X5</f>
        <v/>
      </c>
      <c r="IT5" s="45">
        <f>$IE5*$V5*$X5</f>
        <v/>
      </c>
      <c r="IU5" s="45">
        <f>$IF5*$V5*$X5</f>
        <v/>
      </c>
      <c r="IV5" s="45">
        <f>$HR5*$V5*(1-$X5)/$AY5</f>
        <v/>
      </c>
      <c r="IW5" s="45">
        <f>$HS5*$V5*(1-$X5)/$AY5</f>
        <v/>
      </c>
      <c r="IX5" s="45">
        <f>$HT5*$V5*(1-$X5)/$AY5</f>
        <v/>
      </c>
      <c r="IY5" s="45">
        <f>$HU5*$V5*(1-$X5)/$AY5</f>
        <v/>
      </c>
      <c r="IZ5" s="45">
        <f>$HV5*$V5*(1-$X5)/$AY5</f>
        <v/>
      </c>
      <c r="JA5" s="45">
        <f>$HR5*$Y5*$Z5*$AA5*8760*$BE5</f>
        <v/>
      </c>
      <c r="JB5" s="45">
        <f>$HS5*$Y5*$Z5*$AA5*8760*$BF5</f>
        <v/>
      </c>
      <c r="JC5" s="45">
        <f>$HT5*$Y5*$Z5*$AA5*8760*$BG5</f>
        <v/>
      </c>
      <c r="JD5" s="45">
        <f>$HU5*$Y5*$Z5*$AA5*8760*$BH5</f>
        <v/>
      </c>
      <c r="JE5" s="45">
        <f>$HV5*$Y5*$Z5*$AA5*8760*$BI5</f>
        <v/>
      </c>
      <c r="JF5" s="45">
        <f>IF($AC5&gt;0,$AC5*$HK5,$HR5*$Y5*$AB5*12)*$BE5</f>
        <v/>
      </c>
      <c r="JG5" s="45">
        <f>IF($AC5&gt;0,$AC5*$HK5,$HS5*$Y5*$AB5*12)*$BF5</f>
        <v/>
      </c>
      <c r="JH5" s="45">
        <f>IF($AC5&gt;0,$AC5*$HK5,$HT5*$Y5*$AB5*12)*$BG5</f>
        <v/>
      </c>
      <c r="JI5" s="45">
        <f>IF($AC5&gt;0,$AC5*$HK5,$HU5*$Y5*$AB5*12)*$BH5</f>
        <v/>
      </c>
      <c r="JJ5" s="45">
        <f>IF($AC5&gt;0,$AC5*$HK5,$HV5*$Y5*$AB5*12)*$BI5</f>
        <v/>
      </c>
      <c r="JK5" s="45">
        <f>$HR5*$V5*$AD5*$BE5</f>
        <v/>
      </c>
      <c r="JL5" s="45">
        <f>$HS5*$V5*$AD5*$BF5</f>
        <v/>
      </c>
      <c r="JM5" s="45">
        <f>$HT5*$V5*$AD5*$BG5</f>
        <v/>
      </c>
      <c r="JN5" s="45">
        <f>$HU5*$V5*$AD5*$BH5</f>
        <v/>
      </c>
      <c r="JO5" s="45">
        <f>$HV5*$V5*$AD5*$BI5</f>
        <v/>
      </c>
      <c r="JP5" s="45">
        <f>$AE5*$BE5*$HK5</f>
        <v/>
      </c>
      <c r="JQ5" s="45">
        <f>$AE5*$BF5*$HK5</f>
        <v/>
      </c>
      <c r="JR5" s="45">
        <f>$AE5*$BG5*$HK5</f>
        <v/>
      </c>
      <c r="JS5" s="45">
        <f>$AE5*$BH5*$HK5</f>
        <v/>
      </c>
      <c r="JT5" s="45">
        <f>$AE5*$BI5*$HK5</f>
        <v/>
      </c>
      <c r="JU5" s="45">
        <f>$AQ5*$AG5*$BE5*$HK5</f>
        <v/>
      </c>
      <c r="JV5" s="45">
        <f>$AQ5*$AG5*$BF5*$HK5</f>
        <v/>
      </c>
      <c r="JW5" s="45">
        <f>$AQ5*$AG5*$BG5*$HK5</f>
        <v/>
      </c>
      <c r="JX5" s="45">
        <f>$AQ5*$AG5*$BH5*$HK5</f>
        <v/>
      </c>
      <c r="JY5" s="45">
        <f>$AQ5*$AG5*$BI5*$HK5</f>
        <v/>
      </c>
      <c r="JZ5" s="45">
        <f>$BU5*(1-$HJ5)/1000000*$CJ5</f>
        <v/>
      </c>
      <c r="KA5" s="45">
        <f>$BV5*(1-$HJ5)/1000000*$CK5</f>
        <v/>
      </c>
      <c r="KB5" s="45">
        <f>$BW5*(1-$HJ5)/1000000*$CL5</f>
        <v/>
      </c>
      <c r="KC5" s="45">
        <f>$BX5*(1-$HJ5)/1000000*$CM5</f>
        <v/>
      </c>
      <c r="KD5" s="45">
        <f>$BY5*(1-$HJ5)/1000000*$CN5</f>
        <v/>
      </c>
      <c r="KE5" s="45">
        <f>$CT5*$HL5</f>
        <v/>
      </c>
      <c r="KF5" s="45">
        <f>$CU5*$HL5</f>
        <v/>
      </c>
      <c r="KG5" s="45">
        <f>$CV5*$HL5</f>
        <v/>
      </c>
      <c r="KH5" s="45">
        <f>$CW5*$HL5</f>
        <v/>
      </c>
      <c r="KI5" s="45">
        <f>$CX5*$HL5</f>
        <v/>
      </c>
      <c r="KJ5" s="45">
        <f>IF(1=1,$R5*$HL5+$AH5*$HK5+$AK5,0)</f>
        <v/>
      </c>
      <c r="KK5" s="45">
        <f>IF(2=1,$R5*$HL5+$AH5*$HK5+$AK5,0)</f>
        <v/>
      </c>
      <c r="KL5" s="45">
        <f>IF(3=1,$R5*$HL5+$AH5*$HK5+$AK5,0)</f>
        <v/>
      </c>
      <c r="KM5" s="45">
        <f>IF(4=1,$R5*$HL5+$AH5*$HK5+$AK5,0)</f>
        <v/>
      </c>
      <c r="KN5" s="45">
        <f>IF(5=1,$R5*$HL5+$AH5*$HK5+$AK5,0)</f>
        <v/>
      </c>
      <c r="KO5" s="45">
        <f>$IV5+$JA5+$JF5+$JK5+$JP5+$JU5+$JZ5+$KE5+$KJ5</f>
        <v/>
      </c>
      <c r="KP5" s="45">
        <f>$IW5+$JB5+$JG5+$JL5+$JQ5+$JV5+$KA5+$KF5+$KK5</f>
        <v/>
      </c>
      <c r="KQ5" s="45">
        <f>$IX5+$JC5+$JH5+$JM5+$JR5+$JW5+$KB5+$KG5+$KL5</f>
        <v/>
      </c>
      <c r="KR5" s="45">
        <f>$IY5+$JD5+$JI5+$JN5+$JS5+$JX5+$KC5+$KH5+$KM5</f>
        <v/>
      </c>
      <c r="KS5" s="45">
        <f>$IZ5+$JE5+$JJ5+$JO5+$JT5+$JY5+$KD5+$KI5+$KN5</f>
        <v/>
      </c>
      <c r="KT5" s="45">
        <f>$IL5-$IQ5+$KJ5</f>
        <v/>
      </c>
      <c r="KU5" s="45">
        <f>$IM5-$IR5+$KK5</f>
        <v/>
      </c>
      <c r="KV5" s="45">
        <f>$IN5-$IS5+$KL5</f>
        <v/>
      </c>
      <c r="KW5" s="45">
        <f>$IO5-$IT5+$KM5</f>
        <v/>
      </c>
      <c r="KX5" s="45">
        <f>$IP5-$IU5+$KN5</f>
        <v/>
      </c>
      <c r="KY5" s="45">
        <f>$JA5+$JF5+$JK5+$JP5+$JU5+$JZ5+$KE5</f>
        <v/>
      </c>
      <c r="KZ5" s="45">
        <f>$JB5+$JG5+$JL5+$JQ5+$JV5+$KA5+$KF5</f>
        <v/>
      </c>
      <c r="LA5" s="45">
        <f>$JC5+$JH5+$JM5+$JR5+$JW5+$KB5+$KG5</f>
        <v/>
      </c>
      <c r="LB5" s="45">
        <f>$JD5+$JI5+$JN5+$JS5+$JX5+$KC5+$KH5</f>
        <v/>
      </c>
      <c r="LC5" s="45">
        <f>$JE5+$JJ5+$JO5+$JT5+$JY5+$KD5+$KI5</f>
        <v/>
      </c>
      <c r="LD5" s="45">
        <f>((1&lt;=$AX5)*(1&gt;$AX5-$AY5))*$IG5*$V5*MAX(0,1-(1-$X5)*($AX5-1+1)/$AY5)+((2&lt;=$AX5)*(2&gt;$AX5-$AY5))*$IH5*$V5*MAX(0,1-(1-$X5)*($AX5-2+1)/$AY5)+((3&lt;=$AX5)*(3&gt;$AX5-$AY5))*$II5*$V5*MAX(0,1-(1-$X5)*($AX5-3+1)/$AY5)+((4&lt;=$AX5)*(4&gt;$AX5-$AY5))*$IJ5*$V5*MAX(0,1-(1-$X5)*($AX5-4+1)/$AY5)+((5&lt;=$AX5)*(5&gt;$AX5-$AY5))*$IK5*$V5*MAX(0,1-(1-$X5)*($AX5-5+1)/$AY5)</f>
        <v/>
      </c>
      <c r="LE5" s="45">
        <f>SUMPRODUCT($AZ5:$BD5,$KO5:$KS5)</f>
        <v/>
      </c>
      <c r="LF5" s="45">
        <f>SUM($KO5:$KQ5)</f>
        <v/>
      </c>
      <c r="LG5" s="45">
        <f>SUM($KO5:$KS5)</f>
        <v/>
      </c>
      <c r="LH5" s="45">
        <f>SUMPRODUCT($AZ5:$BD5,$KT5:$KX5,$BJ5:$BN5)+SUMPRODUCT($AZ5:$BD5,$KY5:$LC5,$BO5:$BS5)-$LD5/(1+$AM5)^$AX5</f>
        <v/>
      </c>
      <c r="LI5" s="43">
        <f>$BU5/1000000</f>
        <v/>
      </c>
      <c r="LJ5" s="44">
        <f>IF($LI5&gt;0,$DD5/$LI5,0)</f>
        <v/>
      </c>
      <c r="LK5" s="44">
        <f>IF($LI5&gt;0,$GP5/$LI5,0)</f>
        <v/>
      </c>
      <c r="LL5" s="44">
        <f>IF($LI5&gt;0,$KO5/$LI5,0)</f>
        <v/>
      </c>
      <c r="LM5" s="43">
        <f>$AP5*31536000/1000000</f>
        <v/>
      </c>
      <c r="LN5" s="43">
        <f>$EC5*$LM5</f>
        <v/>
      </c>
      <c r="LO5" s="45">
        <f>$FG5+$FL5+$FQ5+$FV5+$GA5+$GF5</f>
        <v/>
      </c>
      <c r="LP5" s="46">
        <f>IF($LN5*$CJ5&gt;0,MAX(0,($LO5-$CT5)/($LN5*$CJ5)),0)</f>
        <v/>
      </c>
      <c r="LQ5" s="46">
        <f>IF($LN5&gt;0,$LI5/$LN5,0)</f>
        <v/>
      </c>
      <c r="LR5" s="46">
        <f>1/($M5*$AI5)</f>
        <v/>
      </c>
      <c r="LS5" s="43">
        <f>$HR5*$LM5</f>
        <v/>
      </c>
      <c r="LT5" s="45">
        <f>$IV5+$JA5+$JF5+$JK5+$JP5+$JU5</f>
        <v/>
      </c>
      <c r="LU5" s="46">
        <f>IF($LS5*$CJ5&gt;0,$LT5/($LS5*$CJ5),0)</f>
        <v/>
      </c>
      <c r="LV5" s="46">
        <f>IF($LS5&gt;0,$LI5*$HJ5/$LS5,0)</f>
        <v/>
      </c>
      <c r="LW5" s="45">
        <f>$V5*(1-$X5)/$AY5+$Y5*$Z5*$AA5*8760+IF($AC5&gt;0,0,$Y5*$AB5*12)+$V5*$AD5</f>
        <v/>
      </c>
      <c r="LX5" s="46">
        <f>IF($LM5*$CJ5&gt;0,$LW5/($LM5*$CJ5),0)</f>
        <v/>
      </c>
      <c r="LY5" s="44">
        <f>IF($LM5*$LR5&gt;0,$LW5/($LM5*$LR5),0)</f>
        <v/>
      </c>
      <c r="LZ5" s="45">
        <f>$AE5+$AF5*$AG5+IF($AC5&gt;0,$AC5,0)-$CT5</f>
        <v/>
      </c>
      <c r="MA5" s="43">
        <f>IF($CJ5&gt;$LY5,MAX(0,$LZ5)/($CJ5-$LY5)*1000000,"Not reachable")</f>
        <v/>
      </c>
      <c r="MB5" s="47">
        <f>IF(AND(ISNUMBER($MA5),$BU5&gt;0),$MA5/$BU5,"n/a")</f>
        <v/>
      </c>
      <c r="MC5" s="47">
        <f>$B5*MAX(0,$D5-1)*$E5</f>
        <v/>
      </c>
      <c r="MD5" s="45">
        <f>$MC5*$C5</f>
        <v/>
      </c>
      <c r="ME5" s="45">
        <f>$MD5*SUMPRODUCT($AZ5:$BD5,$BO5:$BS5)</f>
        <v/>
      </c>
      <c r="MF5" s="45">
        <f>IF($AO5="Yes",$ME5-$DW5,0)</f>
        <v/>
      </c>
      <c r="MG5" s="45">
        <f>IF($AO5="Yes",$ME5-$HI5,0)</f>
        <v/>
      </c>
      <c r="MH5" s="45">
        <f>IF($AO5="Yes",$ME5-$LH5,0)</f>
        <v/>
      </c>
      <c r="MI5" s="45">
        <f>IF($AO5="Yes",$MD5-$DD5,0)</f>
        <v/>
      </c>
      <c r="MJ5" s="25">
        <f>IF(AND($DW5&lt;=$HI5,$DW5&lt;=$LH5),"Rent the Frontier",IF($HI5&lt;=$LH5,"Own the Frontier","Hybrid"))</f>
        <v/>
      </c>
      <c r="MK5" s="25">
        <f>IF(AND($DT5&lt;=$HF5,$DT5&lt;=$LE5),"Rent the Frontier",IF($HF5&lt;=$LE5,"Own the Frontier","Hybrid"))</f>
        <v/>
      </c>
    </row>
    <row r="6">
      <c r="A6" s="25">
        <f>Sensitivity!A9&amp;" ("&amp;Sensitivity!C9&amp;")"</f>
        <v/>
      </c>
      <c r="B6" s="25">
        <f>Inputs!$B$5</f>
        <v/>
      </c>
      <c r="C6" s="25">
        <f>Inputs!$B$6</f>
        <v/>
      </c>
      <c r="D6" s="25">
        <f>Inputs!$B$7*Sensitivity!$D$9</f>
        <v/>
      </c>
      <c r="E6" s="25">
        <f>Inputs!$B$8</f>
        <v/>
      </c>
      <c r="F6" s="25">
        <f>Inputs!$B$12</f>
        <v/>
      </c>
      <c r="G6" s="25">
        <f>Inputs!$B$13</f>
        <v/>
      </c>
      <c r="H6" s="25">
        <f>Inputs!$B$14</f>
        <v/>
      </c>
      <c r="I6" s="25">
        <f>Inputs!$B$18</f>
        <v/>
      </c>
      <c r="J6" s="25">
        <f>Inputs!$B$19</f>
        <v/>
      </c>
      <c r="K6" s="25">
        <f>Inputs!$B$20</f>
        <v/>
      </c>
      <c r="L6" s="25">
        <f>Inputs!$B$21</f>
        <v/>
      </c>
      <c r="M6" s="25">
        <f>Inputs!$B$22</f>
        <v/>
      </c>
      <c r="N6" s="25">
        <f>Inputs!$B$23</f>
        <v/>
      </c>
      <c r="O6" s="25">
        <f>Inputs!$B$26</f>
        <v/>
      </c>
      <c r="P6" s="25">
        <f>Inputs!$B$27</f>
        <v/>
      </c>
      <c r="Q6" s="25">
        <f>Inputs!$B$28</f>
        <v/>
      </c>
      <c r="R6" s="25">
        <f>Inputs!$B$29</f>
        <v/>
      </c>
      <c r="S6" s="25">
        <f>Inputs!$B$30</f>
        <v/>
      </c>
      <c r="T6" s="25">
        <f>Inputs!$B$31</f>
        <v/>
      </c>
      <c r="U6" s="25">
        <f>Inputs!$B$32</f>
        <v/>
      </c>
      <c r="V6" s="25">
        <f>Inputs!$B$35</f>
        <v/>
      </c>
      <c r="W6" s="25">
        <f>Inputs!$B$36</f>
        <v/>
      </c>
      <c r="X6" s="25">
        <f>Inputs!$B$37</f>
        <v/>
      </c>
      <c r="Y6" s="25">
        <f>Inputs!$B$38</f>
        <v/>
      </c>
      <c r="Z6" s="25">
        <f>Inputs!$B$39</f>
        <v/>
      </c>
      <c r="AA6" s="25">
        <f>Inputs!$B$40</f>
        <v/>
      </c>
      <c r="AB6" s="25">
        <f>Inputs!$B$41</f>
        <v/>
      </c>
      <c r="AC6" s="25">
        <f>Inputs!$B$42</f>
        <v/>
      </c>
      <c r="AD6" s="25">
        <f>Inputs!$B$43</f>
        <v/>
      </c>
      <c r="AE6" s="25">
        <f>Inputs!$B$44</f>
        <v/>
      </c>
      <c r="AF6" s="25">
        <f>Inputs!$B$45</f>
        <v/>
      </c>
      <c r="AG6" s="25">
        <f>Inputs!$B$46</f>
        <v/>
      </c>
      <c r="AH6" s="25">
        <f>Inputs!$B$47</f>
        <v/>
      </c>
      <c r="AI6" s="25">
        <f>Inputs!$B$48</f>
        <v/>
      </c>
      <c r="AJ6" s="25">
        <f>IF(ISNUMBER(Inputs!$B$51),Inputs!$B$51,"")</f>
        <v/>
      </c>
      <c r="AK6" s="25">
        <f>Inputs!$B$52</f>
        <v/>
      </c>
      <c r="AL6" s="25">
        <f>Inputs!$B$55</f>
        <v/>
      </c>
      <c r="AM6" s="25">
        <f>Inputs!$B$56</f>
        <v/>
      </c>
      <c r="AN6" s="25">
        <f>Inputs!$B$57</f>
        <v/>
      </c>
      <c r="AO6" s="25">
        <f>Inputs!$B$58</f>
        <v/>
      </c>
      <c r="AP6" s="25">
        <f>Inputs!$B$61</f>
        <v/>
      </c>
      <c r="AQ6" s="25">
        <f>Inputs!$B$62</f>
        <v/>
      </c>
      <c r="AR6" s="25">
        <f>1</f>
        <v/>
      </c>
      <c r="AS6" s="25" t="n">
        <v>1</v>
      </c>
      <c r="AT6" s="25" t="n">
        <v>2</v>
      </c>
      <c r="AU6" s="25" t="n">
        <v>3</v>
      </c>
      <c r="AV6" s="25" t="n">
        <v>4</v>
      </c>
      <c r="AW6" s="25" t="n">
        <v>5</v>
      </c>
      <c r="AX6" s="25">
        <f>MIN(5,MAX(1,ROUND($AL6,0)))</f>
        <v/>
      </c>
      <c r="AY6" s="25">
        <f>MAX(1,ROUND($W6,0))</f>
        <v/>
      </c>
      <c r="AZ6" s="25">
        <f>IF(1&lt;=$AX6,1,0)</f>
        <v/>
      </c>
      <c r="BA6" s="25">
        <f>IF(2&lt;=$AX6,1,0)</f>
        <v/>
      </c>
      <c r="BB6" s="25">
        <f>IF(3&lt;=$AX6,1,0)</f>
        <v/>
      </c>
      <c r="BC6" s="25">
        <f>IF(4&lt;=$AX6,1,0)</f>
        <v/>
      </c>
      <c r="BD6" s="25">
        <f>IF(5&lt;=$AX6,1,0)</f>
        <v/>
      </c>
      <c r="BE6" s="52">
        <f>(1+$AN6)^(1-1)</f>
        <v/>
      </c>
      <c r="BF6" s="52">
        <f>(1+$AN6)^(2-1)</f>
        <v/>
      </c>
      <c r="BG6" s="52">
        <f>(1+$AN6)^(3-1)</f>
        <v/>
      </c>
      <c r="BH6" s="52">
        <f>(1+$AN6)^(4-1)</f>
        <v/>
      </c>
      <c r="BI6" s="52">
        <f>(1+$AN6)^(5-1)</f>
        <v/>
      </c>
      <c r="BJ6" s="53">
        <f>1/(1+$AM6)^(1-1)</f>
        <v/>
      </c>
      <c r="BK6" s="53">
        <f>1/(1+$AM6)^(2-1)</f>
        <v/>
      </c>
      <c r="BL6" s="53">
        <f>1/(1+$AM6)^(3-1)</f>
        <v/>
      </c>
      <c r="BM6" s="53">
        <f>1/(1+$AM6)^(4-1)</f>
        <v/>
      </c>
      <c r="BN6" s="53">
        <f>1/(1+$AM6)^(5-1)</f>
        <v/>
      </c>
      <c r="BO6" s="53">
        <f>1/(1+$AM6)^1</f>
        <v/>
      </c>
      <c r="BP6" s="53">
        <f>1/(1+$AM6)^2</f>
        <v/>
      </c>
      <c r="BQ6" s="53">
        <f>1/(1+$AM6)^3</f>
        <v/>
      </c>
      <c r="BR6" s="53">
        <f>1/(1+$AM6)^4</f>
        <v/>
      </c>
      <c r="BS6" s="53">
        <f>1/(1+$AM6)^5</f>
        <v/>
      </c>
      <c r="BT6" s="43">
        <f>IF(AND($I6="Direct monthly estimate",$J6&gt;0),$J6,$D6*$K6*$L6)</f>
        <v/>
      </c>
      <c r="BU6" s="43">
        <f>$BT6*$B6*12*(1+$N6)^(1-1)</f>
        <v/>
      </c>
      <c r="BV6" s="43">
        <f>$BT6*$B6*12*(1+$N6)^(2-1)</f>
        <v/>
      </c>
      <c r="BW6" s="43">
        <f>$BT6*$B6*12*(1+$N6)^(3-1)</f>
        <v/>
      </c>
      <c r="BX6" s="43">
        <f>$BT6*$B6*12*(1+$N6)^(4-1)</f>
        <v/>
      </c>
      <c r="BY6" s="43">
        <f>$BT6*$B6*12*(1+$N6)^(5-1)</f>
        <v/>
      </c>
      <c r="BZ6" s="43">
        <f>$BU6/31536000*$M6</f>
        <v/>
      </c>
      <c r="CA6" s="43">
        <f>$BV6/31536000*$M6</f>
        <v/>
      </c>
      <c r="CB6" s="43">
        <f>$BW6/31536000*$M6</f>
        <v/>
      </c>
      <c r="CC6" s="43">
        <f>$BX6/31536000*$M6</f>
        <v/>
      </c>
      <c r="CD6" s="43">
        <f>$BY6/31536000*$M6</f>
        <v/>
      </c>
      <c r="CE6" s="43">
        <f>$BZ6*$AI6</f>
        <v/>
      </c>
      <c r="CF6" s="43">
        <f>$CA6*$AI6</f>
        <v/>
      </c>
      <c r="CG6" s="43">
        <f>$CB6*$AI6</f>
        <v/>
      </c>
      <c r="CH6" s="43">
        <f>$CC6*$AI6</f>
        <v/>
      </c>
      <c r="CI6" s="43">
        <f>$CD6*$AI6</f>
        <v/>
      </c>
      <c r="CJ6" s="44">
        <f>$O6*(1-$Q6)*(1-$P6)^(1-1)</f>
        <v/>
      </c>
      <c r="CK6" s="44">
        <f>$O6*(1-$Q6)*(1-$P6)^(2-1)</f>
        <v/>
      </c>
      <c r="CL6" s="44">
        <f>$O6*(1-$Q6)*(1-$P6)^(3-1)</f>
        <v/>
      </c>
      <c r="CM6" s="44">
        <f>$O6*(1-$Q6)*(1-$P6)^(4-1)</f>
        <v/>
      </c>
      <c r="CN6" s="44">
        <f>$O6*(1-$Q6)*(1-$P6)^(5-1)</f>
        <v/>
      </c>
      <c r="CO6" s="45">
        <f>$BU6/1000000*$CJ6</f>
        <v/>
      </c>
      <c r="CP6" s="45">
        <f>$BV6/1000000*$CK6</f>
        <v/>
      </c>
      <c r="CQ6" s="45">
        <f>$BW6/1000000*$CL6</f>
        <v/>
      </c>
      <c r="CR6" s="45">
        <f>$BX6/1000000*$CM6</f>
        <v/>
      </c>
      <c r="CS6" s="45">
        <f>$BY6/1000000*$CN6</f>
        <v/>
      </c>
      <c r="CT6" s="45">
        <f>($T6*$U6+$S6)*$BE6</f>
        <v/>
      </c>
      <c r="CU6" s="45">
        <f>($T6*$U6+$S6)*$BF6</f>
        <v/>
      </c>
      <c r="CV6" s="45">
        <f>($T6*$U6+$S6)*$BG6</f>
        <v/>
      </c>
      <c r="CW6" s="45">
        <f>($T6*$U6+$S6)*$BH6</f>
        <v/>
      </c>
      <c r="CX6" s="45">
        <f>($T6*$U6+$S6)*$BI6</f>
        <v/>
      </c>
      <c r="CY6" s="45">
        <f>IF(1=1,$R6,0)</f>
        <v/>
      </c>
      <c r="CZ6" s="45">
        <f>IF(2=1,$R6,0)</f>
        <v/>
      </c>
      <c r="DA6" s="45">
        <f>IF(3=1,$R6,0)</f>
        <v/>
      </c>
      <c r="DB6" s="45">
        <f>IF(4=1,$R6,0)</f>
        <v/>
      </c>
      <c r="DC6" s="45">
        <f>IF(5=1,$R6,0)</f>
        <v/>
      </c>
      <c r="DD6" s="45">
        <f>$CO6+$CT6+$CY6</f>
        <v/>
      </c>
      <c r="DE6" s="45">
        <f>$CP6+$CU6+$CZ6</f>
        <v/>
      </c>
      <c r="DF6" s="45">
        <f>$CQ6+$CV6+$DA6</f>
        <v/>
      </c>
      <c r="DG6" s="45">
        <f>$CR6+$CW6+$DB6</f>
        <v/>
      </c>
      <c r="DH6" s="45">
        <f>$CS6+$CX6+$DC6</f>
        <v/>
      </c>
      <c r="DI6" s="45">
        <f>$CY6</f>
        <v/>
      </c>
      <c r="DJ6" s="45">
        <f>$CZ6</f>
        <v/>
      </c>
      <c r="DK6" s="45">
        <f>$DA6</f>
        <v/>
      </c>
      <c r="DL6" s="45">
        <f>$DB6</f>
        <v/>
      </c>
      <c r="DM6" s="45">
        <f>$DC6</f>
        <v/>
      </c>
      <c r="DN6" s="45">
        <f>$CO6+$CT6</f>
        <v/>
      </c>
      <c r="DO6" s="45">
        <f>$CP6+$CU6</f>
        <v/>
      </c>
      <c r="DP6" s="45">
        <f>$CQ6+$CV6</f>
        <v/>
      </c>
      <c r="DQ6" s="45">
        <f>$CR6+$CW6</f>
        <v/>
      </c>
      <c r="DR6" s="45">
        <f>$CS6+$CX6</f>
        <v/>
      </c>
      <c r="DS6" s="45">
        <f>0</f>
        <v/>
      </c>
      <c r="DT6" s="45">
        <f>SUMPRODUCT($AZ6:$BD6,$DD6:$DH6)</f>
        <v/>
      </c>
      <c r="DU6" s="45">
        <f>SUM($DD6:$DF6)</f>
        <v/>
      </c>
      <c r="DV6" s="45">
        <f>SUM($DD6:$DH6)</f>
        <v/>
      </c>
      <c r="DW6" s="45">
        <f>SUMPRODUCT($AZ6:$BD6,$DI6:$DM6,$BJ6:$BN6)+SUMPRODUCT($AZ6:$BD6,$DN6:$DR6,$BO6:$BS6)-$DS6/(1+$AM6)^$AX6</f>
        <v/>
      </c>
      <c r="DX6" s="43">
        <f>IF($CE6&gt;0,ROUNDUP($CE6/$AP6,0),0)</f>
        <v/>
      </c>
      <c r="DY6" s="43">
        <f>IF($CF6&gt;0,ROUNDUP($CF6/$AP6,0),0)</f>
        <v/>
      </c>
      <c r="DZ6" s="43">
        <f>IF($CG6&gt;0,ROUNDUP($CG6/$AP6,0),0)</f>
        <v/>
      </c>
      <c r="EA6" s="43">
        <f>IF($CH6&gt;0,ROUNDUP($CH6/$AP6,0),0)</f>
        <v/>
      </c>
      <c r="EB6" s="43">
        <f>IF($CI6&gt;0,ROUNDUP($CI6/$AP6,0),0)</f>
        <v/>
      </c>
      <c r="EC6" s="43">
        <f>MAX($DX6,0)</f>
        <v/>
      </c>
      <c r="ED6" s="43">
        <f>MAX($DY6,$EC6)</f>
        <v/>
      </c>
      <c r="EE6" s="43">
        <f>MAX($DZ6,$ED6)</f>
        <v/>
      </c>
      <c r="EF6" s="43">
        <f>MAX($EA6,$EE6)</f>
        <v/>
      </c>
      <c r="EG6" s="43">
        <f>MAX($EB6,$EF6)</f>
        <v/>
      </c>
      <c r="EH6" s="43">
        <f>$EC6-0</f>
        <v/>
      </c>
      <c r="EI6" s="43">
        <f>$ED6-$EC6</f>
        <v/>
      </c>
      <c r="EJ6" s="43">
        <f>$EE6-$ED6</f>
        <v/>
      </c>
      <c r="EK6" s="43">
        <f>$EF6-$EE6</f>
        <v/>
      </c>
      <c r="EL6" s="43">
        <f>$EG6-$EF6</f>
        <v/>
      </c>
      <c r="EM6" s="43">
        <f>0</f>
        <v/>
      </c>
      <c r="EN6" s="43">
        <f>(1+$AY6=2)*$ER6</f>
        <v/>
      </c>
      <c r="EO6" s="43">
        <f>(1+$AY6=3)*$ER6+(2+$AY6=3)*$ES6</f>
        <v/>
      </c>
      <c r="EP6" s="43">
        <f>(1+$AY6=4)*$ER6+(2+$AY6=4)*$ES6+(3+$AY6=4)*$ET6</f>
        <v/>
      </c>
      <c r="EQ6" s="43">
        <f>(1+$AY6=5)*$ER6+(2+$AY6=5)*$ES6+(3+$AY6=5)*$ET6+(4+$AY6=5)*$EU6</f>
        <v/>
      </c>
      <c r="ER6" s="43">
        <f>$EH6+$EM6</f>
        <v/>
      </c>
      <c r="ES6" s="43">
        <f>$EI6+$EN6</f>
        <v/>
      </c>
      <c r="ET6" s="43">
        <f>$EJ6+$EO6</f>
        <v/>
      </c>
      <c r="EU6" s="43">
        <f>$EK6+$EP6</f>
        <v/>
      </c>
      <c r="EV6" s="43">
        <f>$EL6+$EQ6</f>
        <v/>
      </c>
      <c r="EW6" s="45">
        <f>$ER6*$V6</f>
        <v/>
      </c>
      <c r="EX6" s="45">
        <f>$ES6*$V6</f>
        <v/>
      </c>
      <c r="EY6" s="45">
        <f>$ET6*$V6</f>
        <v/>
      </c>
      <c r="EZ6" s="45">
        <f>$EU6*$V6</f>
        <v/>
      </c>
      <c r="FA6" s="45">
        <f>$EV6*$V6</f>
        <v/>
      </c>
      <c r="FB6" s="45">
        <f>$EM6*$V6*$X6</f>
        <v/>
      </c>
      <c r="FC6" s="45">
        <f>$EN6*$V6*$X6</f>
        <v/>
      </c>
      <c r="FD6" s="45">
        <f>$EO6*$V6*$X6</f>
        <v/>
      </c>
      <c r="FE6" s="45">
        <f>$EP6*$V6*$X6</f>
        <v/>
      </c>
      <c r="FF6" s="45">
        <f>$EQ6*$V6*$X6</f>
        <v/>
      </c>
      <c r="FG6" s="45">
        <f>$EC6*$V6*(1-$X6)/$AY6</f>
        <v/>
      </c>
      <c r="FH6" s="45">
        <f>$ED6*$V6*(1-$X6)/$AY6</f>
        <v/>
      </c>
      <c r="FI6" s="45">
        <f>$EE6*$V6*(1-$X6)/$AY6</f>
        <v/>
      </c>
      <c r="FJ6" s="45">
        <f>$EF6*$V6*(1-$X6)/$AY6</f>
        <v/>
      </c>
      <c r="FK6" s="45">
        <f>$EG6*$V6*(1-$X6)/$AY6</f>
        <v/>
      </c>
      <c r="FL6" s="45">
        <f>$EC6*$Y6*$Z6*$AA6*8760*$BE6</f>
        <v/>
      </c>
      <c r="FM6" s="45">
        <f>$ED6*$Y6*$Z6*$AA6*8760*$BF6</f>
        <v/>
      </c>
      <c r="FN6" s="45">
        <f>$EE6*$Y6*$Z6*$AA6*8760*$BG6</f>
        <v/>
      </c>
      <c r="FO6" s="45">
        <f>$EF6*$Y6*$Z6*$AA6*8760*$BH6</f>
        <v/>
      </c>
      <c r="FP6" s="45">
        <f>$EG6*$Y6*$Z6*$AA6*8760*$BI6</f>
        <v/>
      </c>
      <c r="FQ6" s="45">
        <f>IF($AC6&gt;0,$AC6,$EC6*$Y6*$AB6*12)*$BE6</f>
        <v/>
      </c>
      <c r="FR6" s="45">
        <f>IF($AC6&gt;0,$AC6,$ED6*$Y6*$AB6*12)*$BF6</f>
        <v/>
      </c>
      <c r="FS6" s="45">
        <f>IF($AC6&gt;0,$AC6,$EE6*$Y6*$AB6*12)*$BG6</f>
        <v/>
      </c>
      <c r="FT6" s="45">
        <f>IF($AC6&gt;0,$AC6,$EF6*$Y6*$AB6*12)*$BH6</f>
        <v/>
      </c>
      <c r="FU6" s="45">
        <f>IF($AC6&gt;0,$AC6,$EG6*$Y6*$AB6*12)*$BI6</f>
        <v/>
      </c>
      <c r="FV6" s="45">
        <f>$EC6*$V6*$AD6*$BE6</f>
        <v/>
      </c>
      <c r="FW6" s="45">
        <f>$ED6*$V6*$AD6*$BF6</f>
        <v/>
      </c>
      <c r="FX6" s="45">
        <f>$EE6*$V6*$AD6*$BG6</f>
        <v/>
      </c>
      <c r="FY6" s="45">
        <f>$EF6*$V6*$AD6*$BH6</f>
        <v/>
      </c>
      <c r="FZ6" s="45">
        <f>$EG6*$V6*$AD6*$BI6</f>
        <v/>
      </c>
      <c r="GA6" s="45">
        <f>$AE6*$BE6</f>
        <v/>
      </c>
      <c r="GB6" s="45">
        <f>$AE6*$BF6</f>
        <v/>
      </c>
      <c r="GC6" s="45">
        <f>$AE6*$BG6</f>
        <v/>
      </c>
      <c r="GD6" s="45">
        <f>$AE6*$BH6</f>
        <v/>
      </c>
      <c r="GE6" s="45">
        <f>$AE6*$BI6</f>
        <v/>
      </c>
      <c r="GF6" s="45">
        <f>$AF6*$AG6*$BE6</f>
        <v/>
      </c>
      <c r="GG6" s="45">
        <f>$AF6*$AG6*$BF6</f>
        <v/>
      </c>
      <c r="GH6" s="45">
        <f>$AF6*$AG6*$BG6</f>
        <v/>
      </c>
      <c r="GI6" s="45">
        <f>$AF6*$AG6*$BH6</f>
        <v/>
      </c>
      <c r="GJ6" s="45">
        <f>$AF6*$AG6*$BI6</f>
        <v/>
      </c>
      <c r="GK6" s="45">
        <f>IF(1=1,$AH6,0)</f>
        <v/>
      </c>
      <c r="GL6" s="45">
        <f>IF(2=1,$AH6,0)</f>
        <v/>
      </c>
      <c r="GM6" s="45">
        <f>IF(3=1,$AH6,0)</f>
        <v/>
      </c>
      <c r="GN6" s="45">
        <f>IF(4=1,$AH6,0)</f>
        <v/>
      </c>
      <c r="GO6" s="45">
        <f>IF(5=1,$AH6,0)</f>
        <v/>
      </c>
      <c r="GP6" s="45">
        <f>$FG6+$FL6+$FQ6+$FV6+$GA6+$GF6+$GK6</f>
        <v/>
      </c>
      <c r="GQ6" s="45">
        <f>$FH6+$FM6+$FR6+$FW6+$GB6+$GG6+$GL6</f>
        <v/>
      </c>
      <c r="GR6" s="45">
        <f>$FI6+$FN6+$FS6+$FX6+$GC6+$GH6+$GM6</f>
        <v/>
      </c>
      <c r="GS6" s="45">
        <f>$FJ6+$FO6+$FT6+$FY6+$GD6+$GI6+$GN6</f>
        <v/>
      </c>
      <c r="GT6" s="45">
        <f>$FK6+$FP6+$FU6+$FZ6+$GE6+$GJ6+$GO6</f>
        <v/>
      </c>
      <c r="GU6" s="45">
        <f>$EW6-$FB6+$GK6</f>
        <v/>
      </c>
      <c r="GV6" s="45">
        <f>$EX6-$FC6+$GL6</f>
        <v/>
      </c>
      <c r="GW6" s="45">
        <f>$EY6-$FD6+$GM6</f>
        <v/>
      </c>
      <c r="GX6" s="45">
        <f>$EZ6-$FE6+$GN6</f>
        <v/>
      </c>
      <c r="GY6" s="45">
        <f>$FA6-$FF6+$GO6</f>
        <v/>
      </c>
      <c r="GZ6" s="45">
        <f>$FL6+$FQ6+$FV6+$GA6+$GF6</f>
        <v/>
      </c>
      <c r="HA6" s="45">
        <f>$FM6+$FR6+$FW6+$GB6+$GG6</f>
        <v/>
      </c>
      <c r="HB6" s="45">
        <f>$FN6+$FS6+$FX6+$GC6+$GH6</f>
        <v/>
      </c>
      <c r="HC6" s="45">
        <f>$FO6+$FT6+$FY6+$GD6+$GI6</f>
        <v/>
      </c>
      <c r="HD6" s="45">
        <f>$FP6+$FU6+$FZ6+$GE6+$GJ6</f>
        <v/>
      </c>
      <c r="HE6" s="45">
        <f>((1&lt;=$AX6)*(1&gt;$AX6-$AY6))*$ER6*$V6*MAX(0,1-(1-$X6)*($AX6-1+1)/$AY6)+((2&lt;=$AX6)*(2&gt;$AX6-$AY6))*$ES6*$V6*MAX(0,1-(1-$X6)*($AX6-2+1)/$AY6)+((3&lt;=$AX6)*(3&gt;$AX6-$AY6))*$ET6*$V6*MAX(0,1-(1-$X6)*($AX6-3+1)/$AY6)+((4&lt;=$AX6)*(4&gt;$AX6-$AY6))*$EU6*$V6*MAX(0,1-(1-$X6)*($AX6-4+1)/$AY6)+((5&lt;=$AX6)*(5&gt;$AX6-$AY6))*$EV6*$V6*MAX(0,1-(1-$X6)*($AX6-5+1)/$AY6)</f>
        <v/>
      </c>
      <c r="HF6" s="45">
        <f>SUMPRODUCT($AZ6:$BD6,$GP6:$GT6)</f>
        <v/>
      </c>
      <c r="HG6" s="45">
        <f>SUM($GP6:$GR6)</f>
        <v/>
      </c>
      <c r="HH6" s="45">
        <f>SUM($GP6:$GT6)</f>
        <v/>
      </c>
      <c r="HI6" s="45">
        <f>SUMPRODUCT($AZ6:$BD6,$GU6:$GY6,$BJ6:$BN6)+SUMPRODUCT($AZ6:$BD6,$GZ6:$HD6,$BO6:$BS6)-$HE6/(1+$AM6)^$AX6</f>
        <v/>
      </c>
      <c r="HJ6" s="46">
        <f>MIN(1,MAX(0,IF(ISNUMBER($AJ6),$AJ6,IF($F6+$G6+$H6&gt;0,($G6+$H6)/($F6+$G6+$H6),0))*$AR6))</f>
        <v/>
      </c>
      <c r="HK6" s="25">
        <f>IF($HJ6&gt;0,1,0)</f>
        <v/>
      </c>
      <c r="HL6" s="25">
        <f>IF($HJ6&lt;1,1,0)</f>
        <v/>
      </c>
      <c r="HM6" s="43">
        <f>IF($CE6*$HJ6&gt;0,ROUNDUP($CE6*$HJ6/$AP6,0),0)</f>
        <v/>
      </c>
      <c r="HN6" s="43">
        <f>IF($CF6*$HJ6&gt;0,ROUNDUP($CF6*$HJ6/$AP6,0),0)</f>
        <v/>
      </c>
      <c r="HO6" s="43">
        <f>IF($CG6*$HJ6&gt;0,ROUNDUP($CG6*$HJ6/$AP6,0),0)</f>
        <v/>
      </c>
      <c r="HP6" s="43">
        <f>IF($CH6*$HJ6&gt;0,ROUNDUP($CH6*$HJ6/$AP6,0),0)</f>
        <v/>
      </c>
      <c r="HQ6" s="43">
        <f>IF($CI6*$HJ6&gt;0,ROUNDUP($CI6*$HJ6/$AP6,0),0)</f>
        <v/>
      </c>
      <c r="HR6" s="43">
        <f>MAX($HM6,0)</f>
        <v/>
      </c>
      <c r="HS6" s="43">
        <f>MAX($HN6,$HR6)</f>
        <v/>
      </c>
      <c r="HT6" s="43">
        <f>MAX($HO6,$HS6)</f>
        <v/>
      </c>
      <c r="HU6" s="43">
        <f>MAX($HP6,$HT6)</f>
        <v/>
      </c>
      <c r="HV6" s="43">
        <f>MAX($HQ6,$HU6)</f>
        <v/>
      </c>
      <c r="HW6" s="43">
        <f>$HR6-0</f>
        <v/>
      </c>
      <c r="HX6" s="43">
        <f>$HS6-$HR6</f>
        <v/>
      </c>
      <c r="HY6" s="43">
        <f>$HT6-$HS6</f>
        <v/>
      </c>
      <c r="HZ6" s="43">
        <f>$HU6-$HT6</f>
        <v/>
      </c>
      <c r="IA6" s="43">
        <f>$HV6-$HU6</f>
        <v/>
      </c>
      <c r="IB6" s="43">
        <f>0</f>
        <v/>
      </c>
      <c r="IC6" s="43">
        <f>(1+$AY6=2)*$IG6</f>
        <v/>
      </c>
      <c r="ID6" s="43">
        <f>(1+$AY6=3)*$IG6+(2+$AY6=3)*$IH6</f>
        <v/>
      </c>
      <c r="IE6" s="43">
        <f>(1+$AY6=4)*$IG6+(2+$AY6=4)*$IH6+(3+$AY6=4)*$II6</f>
        <v/>
      </c>
      <c r="IF6" s="43">
        <f>(1+$AY6=5)*$IG6+(2+$AY6=5)*$IH6+(3+$AY6=5)*$II6+(4+$AY6=5)*$IJ6</f>
        <v/>
      </c>
      <c r="IG6" s="43">
        <f>$HW6+$IB6</f>
        <v/>
      </c>
      <c r="IH6" s="43">
        <f>$HX6+$IC6</f>
        <v/>
      </c>
      <c r="II6" s="43">
        <f>$HY6+$ID6</f>
        <v/>
      </c>
      <c r="IJ6" s="43">
        <f>$HZ6+$IE6</f>
        <v/>
      </c>
      <c r="IK6" s="43">
        <f>$IA6+$IF6</f>
        <v/>
      </c>
      <c r="IL6" s="45">
        <f>$IG6*$V6</f>
        <v/>
      </c>
      <c r="IM6" s="45">
        <f>$IH6*$V6</f>
        <v/>
      </c>
      <c r="IN6" s="45">
        <f>$II6*$V6</f>
        <v/>
      </c>
      <c r="IO6" s="45">
        <f>$IJ6*$V6</f>
        <v/>
      </c>
      <c r="IP6" s="45">
        <f>$IK6*$V6</f>
        <v/>
      </c>
      <c r="IQ6" s="45">
        <f>$IB6*$V6*$X6</f>
        <v/>
      </c>
      <c r="IR6" s="45">
        <f>$IC6*$V6*$X6</f>
        <v/>
      </c>
      <c r="IS6" s="45">
        <f>$ID6*$V6*$X6</f>
        <v/>
      </c>
      <c r="IT6" s="45">
        <f>$IE6*$V6*$X6</f>
        <v/>
      </c>
      <c r="IU6" s="45">
        <f>$IF6*$V6*$X6</f>
        <v/>
      </c>
      <c r="IV6" s="45">
        <f>$HR6*$V6*(1-$X6)/$AY6</f>
        <v/>
      </c>
      <c r="IW6" s="45">
        <f>$HS6*$V6*(1-$X6)/$AY6</f>
        <v/>
      </c>
      <c r="IX6" s="45">
        <f>$HT6*$V6*(1-$X6)/$AY6</f>
        <v/>
      </c>
      <c r="IY6" s="45">
        <f>$HU6*$V6*(1-$X6)/$AY6</f>
        <v/>
      </c>
      <c r="IZ6" s="45">
        <f>$HV6*$V6*(1-$X6)/$AY6</f>
        <v/>
      </c>
      <c r="JA6" s="45">
        <f>$HR6*$Y6*$Z6*$AA6*8760*$BE6</f>
        <v/>
      </c>
      <c r="JB6" s="45">
        <f>$HS6*$Y6*$Z6*$AA6*8760*$BF6</f>
        <v/>
      </c>
      <c r="JC6" s="45">
        <f>$HT6*$Y6*$Z6*$AA6*8760*$BG6</f>
        <v/>
      </c>
      <c r="JD6" s="45">
        <f>$HU6*$Y6*$Z6*$AA6*8760*$BH6</f>
        <v/>
      </c>
      <c r="JE6" s="45">
        <f>$HV6*$Y6*$Z6*$AA6*8760*$BI6</f>
        <v/>
      </c>
      <c r="JF6" s="45">
        <f>IF($AC6&gt;0,$AC6*$HK6,$HR6*$Y6*$AB6*12)*$BE6</f>
        <v/>
      </c>
      <c r="JG6" s="45">
        <f>IF($AC6&gt;0,$AC6*$HK6,$HS6*$Y6*$AB6*12)*$BF6</f>
        <v/>
      </c>
      <c r="JH6" s="45">
        <f>IF($AC6&gt;0,$AC6*$HK6,$HT6*$Y6*$AB6*12)*$BG6</f>
        <v/>
      </c>
      <c r="JI6" s="45">
        <f>IF($AC6&gt;0,$AC6*$HK6,$HU6*$Y6*$AB6*12)*$BH6</f>
        <v/>
      </c>
      <c r="JJ6" s="45">
        <f>IF($AC6&gt;0,$AC6*$HK6,$HV6*$Y6*$AB6*12)*$BI6</f>
        <v/>
      </c>
      <c r="JK6" s="45">
        <f>$HR6*$V6*$AD6*$BE6</f>
        <v/>
      </c>
      <c r="JL6" s="45">
        <f>$HS6*$V6*$AD6*$BF6</f>
        <v/>
      </c>
      <c r="JM6" s="45">
        <f>$HT6*$V6*$AD6*$BG6</f>
        <v/>
      </c>
      <c r="JN6" s="45">
        <f>$HU6*$V6*$AD6*$BH6</f>
        <v/>
      </c>
      <c r="JO6" s="45">
        <f>$HV6*$V6*$AD6*$BI6</f>
        <v/>
      </c>
      <c r="JP6" s="45">
        <f>$AE6*$BE6*$HK6</f>
        <v/>
      </c>
      <c r="JQ6" s="45">
        <f>$AE6*$BF6*$HK6</f>
        <v/>
      </c>
      <c r="JR6" s="45">
        <f>$AE6*$BG6*$HK6</f>
        <v/>
      </c>
      <c r="JS6" s="45">
        <f>$AE6*$BH6*$HK6</f>
        <v/>
      </c>
      <c r="JT6" s="45">
        <f>$AE6*$BI6*$HK6</f>
        <v/>
      </c>
      <c r="JU6" s="45">
        <f>$AQ6*$AG6*$BE6*$HK6</f>
        <v/>
      </c>
      <c r="JV6" s="45">
        <f>$AQ6*$AG6*$BF6*$HK6</f>
        <v/>
      </c>
      <c r="JW6" s="45">
        <f>$AQ6*$AG6*$BG6*$HK6</f>
        <v/>
      </c>
      <c r="JX6" s="45">
        <f>$AQ6*$AG6*$BH6*$HK6</f>
        <v/>
      </c>
      <c r="JY6" s="45">
        <f>$AQ6*$AG6*$BI6*$HK6</f>
        <v/>
      </c>
      <c r="JZ6" s="45">
        <f>$BU6*(1-$HJ6)/1000000*$CJ6</f>
        <v/>
      </c>
      <c r="KA6" s="45">
        <f>$BV6*(1-$HJ6)/1000000*$CK6</f>
        <v/>
      </c>
      <c r="KB6" s="45">
        <f>$BW6*(1-$HJ6)/1000000*$CL6</f>
        <v/>
      </c>
      <c r="KC6" s="45">
        <f>$BX6*(1-$HJ6)/1000000*$CM6</f>
        <v/>
      </c>
      <c r="KD6" s="45">
        <f>$BY6*(1-$HJ6)/1000000*$CN6</f>
        <v/>
      </c>
      <c r="KE6" s="45">
        <f>$CT6*$HL6</f>
        <v/>
      </c>
      <c r="KF6" s="45">
        <f>$CU6*$HL6</f>
        <v/>
      </c>
      <c r="KG6" s="45">
        <f>$CV6*$HL6</f>
        <v/>
      </c>
      <c r="KH6" s="45">
        <f>$CW6*$HL6</f>
        <v/>
      </c>
      <c r="KI6" s="45">
        <f>$CX6*$HL6</f>
        <v/>
      </c>
      <c r="KJ6" s="45">
        <f>IF(1=1,$R6*$HL6+$AH6*$HK6+$AK6,0)</f>
        <v/>
      </c>
      <c r="KK6" s="45">
        <f>IF(2=1,$R6*$HL6+$AH6*$HK6+$AK6,0)</f>
        <v/>
      </c>
      <c r="KL6" s="45">
        <f>IF(3=1,$R6*$HL6+$AH6*$HK6+$AK6,0)</f>
        <v/>
      </c>
      <c r="KM6" s="45">
        <f>IF(4=1,$R6*$HL6+$AH6*$HK6+$AK6,0)</f>
        <v/>
      </c>
      <c r="KN6" s="45">
        <f>IF(5=1,$R6*$HL6+$AH6*$HK6+$AK6,0)</f>
        <v/>
      </c>
      <c r="KO6" s="45">
        <f>$IV6+$JA6+$JF6+$JK6+$JP6+$JU6+$JZ6+$KE6+$KJ6</f>
        <v/>
      </c>
      <c r="KP6" s="45">
        <f>$IW6+$JB6+$JG6+$JL6+$JQ6+$JV6+$KA6+$KF6+$KK6</f>
        <v/>
      </c>
      <c r="KQ6" s="45">
        <f>$IX6+$JC6+$JH6+$JM6+$JR6+$JW6+$KB6+$KG6+$KL6</f>
        <v/>
      </c>
      <c r="KR6" s="45">
        <f>$IY6+$JD6+$JI6+$JN6+$JS6+$JX6+$KC6+$KH6+$KM6</f>
        <v/>
      </c>
      <c r="KS6" s="45">
        <f>$IZ6+$JE6+$JJ6+$JO6+$JT6+$JY6+$KD6+$KI6+$KN6</f>
        <v/>
      </c>
      <c r="KT6" s="45">
        <f>$IL6-$IQ6+$KJ6</f>
        <v/>
      </c>
      <c r="KU6" s="45">
        <f>$IM6-$IR6+$KK6</f>
        <v/>
      </c>
      <c r="KV6" s="45">
        <f>$IN6-$IS6+$KL6</f>
        <v/>
      </c>
      <c r="KW6" s="45">
        <f>$IO6-$IT6+$KM6</f>
        <v/>
      </c>
      <c r="KX6" s="45">
        <f>$IP6-$IU6+$KN6</f>
        <v/>
      </c>
      <c r="KY6" s="45">
        <f>$JA6+$JF6+$JK6+$JP6+$JU6+$JZ6+$KE6</f>
        <v/>
      </c>
      <c r="KZ6" s="45">
        <f>$JB6+$JG6+$JL6+$JQ6+$JV6+$KA6+$KF6</f>
        <v/>
      </c>
      <c r="LA6" s="45">
        <f>$JC6+$JH6+$JM6+$JR6+$JW6+$KB6+$KG6</f>
        <v/>
      </c>
      <c r="LB6" s="45">
        <f>$JD6+$JI6+$JN6+$JS6+$JX6+$KC6+$KH6</f>
        <v/>
      </c>
      <c r="LC6" s="45">
        <f>$JE6+$JJ6+$JO6+$JT6+$JY6+$KD6+$KI6</f>
        <v/>
      </c>
      <c r="LD6" s="45">
        <f>((1&lt;=$AX6)*(1&gt;$AX6-$AY6))*$IG6*$V6*MAX(0,1-(1-$X6)*($AX6-1+1)/$AY6)+((2&lt;=$AX6)*(2&gt;$AX6-$AY6))*$IH6*$V6*MAX(0,1-(1-$X6)*($AX6-2+1)/$AY6)+((3&lt;=$AX6)*(3&gt;$AX6-$AY6))*$II6*$V6*MAX(0,1-(1-$X6)*($AX6-3+1)/$AY6)+((4&lt;=$AX6)*(4&gt;$AX6-$AY6))*$IJ6*$V6*MAX(0,1-(1-$X6)*($AX6-4+1)/$AY6)+((5&lt;=$AX6)*(5&gt;$AX6-$AY6))*$IK6*$V6*MAX(0,1-(1-$X6)*($AX6-5+1)/$AY6)</f>
        <v/>
      </c>
      <c r="LE6" s="45">
        <f>SUMPRODUCT($AZ6:$BD6,$KO6:$KS6)</f>
        <v/>
      </c>
      <c r="LF6" s="45">
        <f>SUM($KO6:$KQ6)</f>
        <v/>
      </c>
      <c r="LG6" s="45">
        <f>SUM($KO6:$KS6)</f>
        <v/>
      </c>
      <c r="LH6" s="45">
        <f>SUMPRODUCT($AZ6:$BD6,$KT6:$KX6,$BJ6:$BN6)+SUMPRODUCT($AZ6:$BD6,$KY6:$LC6,$BO6:$BS6)-$LD6/(1+$AM6)^$AX6</f>
        <v/>
      </c>
      <c r="LI6" s="43">
        <f>$BU6/1000000</f>
        <v/>
      </c>
      <c r="LJ6" s="44">
        <f>IF($LI6&gt;0,$DD6/$LI6,0)</f>
        <v/>
      </c>
      <c r="LK6" s="44">
        <f>IF($LI6&gt;0,$GP6/$LI6,0)</f>
        <v/>
      </c>
      <c r="LL6" s="44">
        <f>IF($LI6&gt;0,$KO6/$LI6,0)</f>
        <v/>
      </c>
      <c r="LM6" s="43">
        <f>$AP6*31536000/1000000</f>
        <v/>
      </c>
      <c r="LN6" s="43">
        <f>$EC6*$LM6</f>
        <v/>
      </c>
      <c r="LO6" s="45">
        <f>$FG6+$FL6+$FQ6+$FV6+$GA6+$GF6</f>
        <v/>
      </c>
      <c r="LP6" s="46">
        <f>IF($LN6*$CJ6&gt;0,MAX(0,($LO6-$CT6)/($LN6*$CJ6)),0)</f>
        <v/>
      </c>
      <c r="LQ6" s="46">
        <f>IF($LN6&gt;0,$LI6/$LN6,0)</f>
        <v/>
      </c>
      <c r="LR6" s="46">
        <f>1/($M6*$AI6)</f>
        <v/>
      </c>
      <c r="LS6" s="43">
        <f>$HR6*$LM6</f>
        <v/>
      </c>
      <c r="LT6" s="45">
        <f>$IV6+$JA6+$JF6+$JK6+$JP6+$JU6</f>
        <v/>
      </c>
      <c r="LU6" s="46">
        <f>IF($LS6*$CJ6&gt;0,$LT6/($LS6*$CJ6),0)</f>
        <v/>
      </c>
      <c r="LV6" s="46">
        <f>IF($LS6&gt;0,$LI6*$HJ6/$LS6,0)</f>
        <v/>
      </c>
      <c r="LW6" s="45">
        <f>$V6*(1-$X6)/$AY6+$Y6*$Z6*$AA6*8760+IF($AC6&gt;0,0,$Y6*$AB6*12)+$V6*$AD6</f>
        <v/>
      </c>
      <c r="LX6" s="46">
        <f>IF($LM6*$CJ6&gt;0,$LW6/($LM6*$CJ6),0)</f>
        <v/>
      </c>
      <c r="LY6" s="44">
        <f>IF($LM6*$LR6&gt;0,$LW6/($LM6*$LR6),0)</f>
        <v/>
      </c>
      <c r="LZ6" s="45">
        <f>$AE6+$AF6*$AG6+IF($AC6&gt;0,$AC6,0)-$CT6</f>
        <v/>
      </c>
      <c r="MA6" s="43">
        <f>IF($CJ6&gt;$LY6,MAX(0,$LZ6)/($CJ6-$LY6)*1000000,"Not reachable")</f>
        <v/>
      </c>
      <c r="MB6" s="47">
        <f>IF(AND(ISNUMBER($MA6),$BU6&gt;0),$MA6/$BU6,"n/a")</f>
        <v/>
      </c>
      <c r="MC6" s="47">
        <f>$B6*MAX(0,$D6-1)*$E6</f>
        <v/>
      </c>
      <c r="MD6" s="45">
        <f>$MC6*$C6</f>
        <v/>
      </c>
      <c r="ME6" s="45">
        <f>$MD6*SUMPRODUCT($AZ6:$BD6,$BO6:$BS6)</f>
        <v/>
      </c>
      <c r="MF6" s="45">
        <f>IF($AO6="Yes",$ME6-$DW6,0)</f>
        <v/>
      </c>
      <c r="MG6" s="45">
        <f>IF($AO6="Yes",$ME6-$HI6,0)</f>
        <v/>
      </c>
      <c r="MH6" s="45">
        <f>IF($AO6="Yes",$ME6-$LH6,0)</f>
        <v/>
      </c>
      <c r="MI6" s="45">
        <f>IF($AO6="Yes",$MD6-$DD6,0)</f>
        <v/>
      </c>
      <c r="MJ6" s="25">
        <f>IF(AND($DW6&lt;=$HI6,$DW6&lt;=$LH6),"Rent the Frontier",IF($HI6&lt;=$LH6,"Own the Frontier","Hybrid"))</f>
        <v/>
      </c>
      <c r="MK6" s="25">
        <f>IF(AND($DT6&lt;=$HF6,$DT6&lt;=$LE6),"Rent the Frontier",IF($HF6&lt;=$LE6,"Own the Frontier","Hybrid"))</f>
        <v/>
      </c>
    </row>
    <row r="7">
      <c r="A7" s="25">
        <f>Sensitivity!A10&amp;" ("&amp;Sensitivity!C10&amp;")"</f>
        <v/>
      </c>
      <c r="B7" s="25">
        <f>Inputs!$B$5</f>
        <v/>
      </c>
      <c r="C7" s="25">
        <f>Inputs!$B$6</f>
        <v/>
      </c>
      <c r="D7" s="25">
        <f>Inputs!$B$7</f>
        <v/>
      </c>
      <c r="E7" s="25">
        <f>MIN(1,Inputs!$B$8*Sensitivity!$D$10)</f>
        <v/>
      </c>
      <c r="F7" s="25">
        <f>Inputs!$B$12</f>
        <v/>
      </c>
      <c r="G7" s="25">
        <f>Inputs!$B$13</f>
        <v/>
      </c>
      <c r="H7" s="25">
        <f>Inputs!$B$14</f>
        <v/>
      </c>
      <c r="I7" s="25">
        <f>Inputs!$B$18</f>
        <v/>
      </c>
      <c r="J7" s="25">
        <f>Inputs!$B$19</f>
        <v/>
      </c>
      <c r="K7" s="25">
        <f>Inputs!$B$20</f>
        <v/>
      </c>
      <c r="L7" s="25">
        <f>Inputs!$B$21</f>
        <v/>
      </c>
      <c r="M7" s="25">
        <f>Inputs!$B$22</f>
        <v/>
      </c>
      <c r="N7" s="25">
        <f>Inputs!$B$23</f>
        <v/>
      </c>
      <c r="O7" s="25">
        <f>Inputs!$B$26</f>
        <v/>
      </c>
      <c r="P7" s="25">
        <f>Inputs!$B$27</f>
        <v/>
      </c>
      <c r="Q7" s="25">
        <f>Inputs!$B$28</f>
        <v/>
      </c>
      <c r="R7" s="25">
        <f>Inputs!$B$29</f>
        <v/>
      </c>
      <c r="S7" s="25">
        <f>Inputs!$B$30</f>
        <v/>
      </c>
      <c r="T7" s="25">
        <f>Inputs!$B$31</f>
        <v/>
      </c>
      <c r="U7" s="25">
        <f>Inputs!$B$32</f>
        <v/>
      </c>
      <c r="V7" s="25">
        <f>Inputs!$B$35</f>
        <v/>
      </c>
      <c r="W7" s="25">
        <f>Inputs!$B$36</f>
        <v/>
      </c>
      <c r="X7" s="25">
        <f>Inputs!$B$37</f>
        <v/>
      </c>
      <c r="Y7" s="25">
        <f>Inputs!$B$38</f>
        <v/>
      </c>
      <c r="Z7" s="25">
        <f>Inputs!$B$39</f>
        <v/>
      </c>
      <c r="AA7" s="25">
        <f>Inputs!$B$40</f>
        <v/>
      </c>
      <c r="AB7" s="25">
        <f>Inputs!$B$41</f>
        <v/>
      </c>
      <c r="AC7" s="25">
        <f>Inputs!$B$42</f>
        <v/>
      </c>
      <c r="AD7" s="25">
        <f>Inputs!$B$43</f>
        <v/>
      </c>
      <c r="AE7" s="25">
        <f>Inputs!$B$44</f>
        <v/>
      </c>
      <c r="AF7" s="25">
        <f>Inputs!$B$45</f>
        <v/>
      </c>
      <c r="AG7" s="25">
        <f>Inputs!$B$46</f>
        <v/>
      </c>
      <c r="AH7" s="25">
        <f>Inputs!$B$47</f>
        <v/>
      </c>
      <c r="AI7" s="25">
        <f>Inputs!$B$48</f>
        <v/>
      </c>
      <c r="AJ7" s="25">
        <f>IF(ISNUMBER(Inputs!$B$51),Inputs!$B$51,"")</f>
        <v/>
      </c>
      <c r="AK7" s="25">
        <f>Inputs!$B$52</f>
        <v/>
      </c>
      <c r="AL7" s="25">
        <f>Inputs!$B$55</f>
        <v/>
      </c>
      <c r="AM7" s="25">
        <f>Inputs!$B$56</f>
        <v/>
      </c>
      <c r="AN7" s="25">
        <f>Inputs!$B$57</f>
        <v/>
      </c>
      <c r="AO7" s="25">
        <f>Inputs!$B$58</f>
        <v/>
      </c>
      <c r="AP7" s="25">
        <f>Inputs!$B$61</f>
        <v/>
      </c>
      <c r="AQ7" s="25">
        <f>Inputs!$B$62</f>
        <v/>
      </c>
      <c r="AR7" s="25">
        <f>1</f>
        <v/>
      </c>
      <c r="AS7" s="25" t="n">
        <v>1</v>
      </c>
      <c r="AT7" s="25" t="n">
        <v>2</v>
      </c>
      <c r="AU7" s="25" t="n">
        <v>3</v>
      </c>
      <c r="AV7" s="25" t="n">
        <v>4</v>
      </c>
      <c r="AW7" s="25" t="n">
        <v>5</v>
      </c>
      <c r="AX7" s="25">
        <f>MIN(5,MAX(1,ROUND($AL7,0)))</f>
        <v/>
      </c>
      <c r="AY7" s="25">
        <f>MAX(1,ROUND($W7,0))</f>
        <v/>
      </c>
      <c r="AZ7" s="25">
        <f>IF(1&lt;=$AX7,1,0)</f>
        <v/>
      </c>
      <c r="BA7" s="25">
        <f>IF(2&lt;=$AX7,1,0)</f>
        <v/>
      </c>
      <c r="BB7" s="25">
        <f>IF(3&lt;=$AX7,1,0)</f>
        <v/>
      </c>
      <c r="BC7" s="25">
        <f>IF(4&lt;=$AX7,1,0)</f>
        <v/>
      </c>
      <c r="BD7" s="25">
        <f>IF(5&lt;=$AX7,1,0)</f>
        <v/>
      </c>
      <c r="BE7" s="52">
        <f>(1+$AN7)^(1-1)</f>
        <v/>
      </c>
      <c r="BF7" s="52">
        <f>(1+$AN7)^(2-1)</f>
        <v/>
      </c>
      <c r="BG7" s="52">
        <f>(1+$AN7)^(3-1)</f>
        <v/>
      </c>
      <c r="BH7" s="52">
        <f>(1+$AN7)^(4-1)</f>
        <v/>
      </c>
      <c r="BI7" s="52">
        <f>(1+$AN7)^(5-1)</f>
        <v/>
      </c>
      <c r="BJ7" s="53">
        <f>1/(1+$AM7)^(1-1)</f>
        <v/>
      </c>
      <c r="BK7" s="53">
        <f>1/(1+$AM7)^(2-1)</f>
        <v/>
      </c>
      <c r="BL7" s="53">
        <f>1/(1+$AM7)^(3-1)</f>
        <v/>
      </c>
      <c r="BM7" s="53">
        <f>1/(1+$AM7)^(4-1)</f>
        <v/>
      </c>
      <c r="BN7" s="53">
        <f>1/(1+$AM7)^(5-1)</f>
        <v/>
      </c>
      <c r="BO7" s="53">
        <f>1/(1+$AM7)^1</f>
        <v/>
      </c>
      <c r="BP7" s="53">
        <f>1/(1+$AM7)^2</f>
        <v/>
      </c>
      <c r="BQ7" s="53">
        <f>1/(1+$AM7)^3</f>
        <v/>
      </c>
      <c r="BR7" s="53">
        <f>1/(1+$AM7)^4</f>
        <v/>
      </c>
      <c r="BS7" s="53">
        <f>1/(1+$AM7)^5</f>
        <v/>
      </c>
      <c r="BT7" s="43">
        <f>IF(AND($I7="Direct monthly estimate",$J7&gt;0),$J7,$D7*$K7*$L7)</f>
        <v/>
      </c>
      <c r="BU7" s="43">
        <f>$BT7*$B7*12*(1+$N7)^(1-1)</f>
        <v/>
      </c>
      <c r="BV7" s="43">
        <f>$BT7*$B7*12*(1+$N7)^(2-1)</f>
        <v/>
      </c>
      <c r="BW7" s="43">
        <f>$BT7*$B7*12*(1+$N7)^(3-1)</f>
        <v/>
      </c>
      <c r="BX7" s="43">
        <f>$BT7*$B7*12*(1+$N7)^(4-1)</f>
        <v/>
      </c>
      <c r="BY7" s="43">
        <f>$BT7*$B7*12*(1+$N7)^(5-1)</f>
        <v/>
      </c>
      <c r="BZ7" s="43">
        <f>$BU7/31536000*$M7</f>
        <v/>
      </c>
      <c r="CA7" s="43">
        <f>$BV7/31536000*$M7</f>
        <v/>
      </c>
      <c r="CB7" s="43">
        <f>$BW7/31536000*$M7</f>
        <v/>
      </c>
      <c r="CC7" s="43">
        <f>$BX7/31536000*$M7</f>
        <v/>
      </c>
      <c r="CD7" s="43">
        <f>$BY7/31536000*$M7</f>
        <v/>
      </c>
      <c r="CE7" s="43">
        <f>$BZ7*$AI7</f>
        <v/>
      </c>
      <c r="CF7" s="43">
        <f>$CA7*$AI7</f>
        <v/>
      </c>
      <c r="CG7" s="43">
        <f>$CB7*$AI7</f>
        <v/>
      </c>
      <c r="CH7" s="43">
        <f>$CC7*$AI7</f>
        <v/>
      </c>
      <c r="CI7" s="43">
        <f>$CD7*$AI7</f>
        <v/>
      </c>
      <c r="CJ7" s="44">
        <f>$O7*(1-$Q7)*(1-$P7)^(1-1)</f>
        <v/>
      </c>
      <c r="CK7" s="44">
        <f>$O7*(1-$Q7)*(1-$P7)^(2-1)</f>
        <v/>
      </c>
      <c r="CL7" s="44">
        <f>$O7*(1-$Q7)*(1-$P7)^(3-1)</f>
        <v/>
      </c>
      <c r="CM7" s="44">
        <f>$O7*(1-$Q7)*(1-$P7)^(4-1)</f>
        <v/>
      </c>
      <c r="CN7" s="44">
        <f>$O7*(1-$Q7)*(1-$P7)^(5-1)</f>
        <v/>
      </c>
      <c r="CO7" s="45">
        <f>$BU7/1000000*$CJ7</f>
        <v/>
      </c>
      <c r="CP7" s="45">
        <f>$BV7/1000000*$CK7</f>
        <v/>
      </c>
      <c r="CQ7" s="45">
        <f>$BW7/1000000*$CL7</f>
        <v/>
      </c>
      <c r="CR7" s="45">
        <f>$BX7/1000000*$CM7</f>
        <v/>
      </c>
      <c r="CS7" s="45">
        <f>$BY7/1000000*$CN7</f>
        <v/>
      </c>
      <c r="CT7" s="45">
        <f>($T7*$U7+$S7)*$BE7</f>
        <v/>
      </c>
      <c r="CU7" s="45">
        <f>($T7*$U7+$S7)*$BF7</f>
        <v/>
      </c>
      <c r="CV7" s="45">
        <f>($T7*$U7+$S7)*$BG7</f>
        <v/>
      </c>
      <c r="CW7" s="45">
        <f>($T7*$U7+$S7)*$BH7</f>
        <v/>
      </c>
      <c r="CX7" s="45">
        <f>($T7*$U7+$S7)*$BI7</f>
        <v/>
      </c>
      <c r="CY7" s="45">
        <f>IF(1=1,$R7,0)</f>
        <v/>
      </c>
      <c r="CZ7" s="45">
        <f>IF(2=1,$R7,0)</f>
        <v/>
      </c>
      <c r="DA7" s="45">
        <f>IF(3=1,$R7,0)</f>
        <v/>
      </c>
      <c r="DB7" s="45">
        <f>IF(4=1,$R7,0)</f>
        <v/>
      </c>
      <c r="DC7" s="45">
        <f>IF(5=1,$R7,0)</f>
        <v/>
      </c>
      <c r="DD7" s="45">
        <f>$CO7+$CT7+$CY7</f>
        <v/>
      </c>
      <c r="DE7" s="45">
        <f>$CP7+$CU7+$CZ7</f>
        <v/>
      </c>
      <c r="DF7" s="45">
        <f>$CQ7+$CV7+$DA7</f>
        <v/>
      </c>
      <c r="DG7" s="45">
        <f>$CR7+$CW7+$DB7</f>
        <v/>
      </c>
      <c r="DH7" s="45">
        <f>$CS7+$CX7+$DC7</f>
        <v/>
      </c>
      <c r="DI7" s="45">
        <f>$CY7</f>
        <v/>
      </c>
      <c r="DJ7" s="45">
        <f>$CZ7</f>
        <v/>
      </c>
      <c r="DK7" s="45">
        <f>$DA7</f>
        <v/>
      </c>
      <c r="DL7" s="45">
        <f>$DB7</f>
        <v/>
      </c>
      <c r="DM7" s="45">
        <f>$DC7</f>
        <v/>
      </c>
      <c r="DN7" s="45">
        <f>$CO7+$CT7</f>
        <v/>
      </c>
      <c r="DO7" s="45">
        <f>$CP7+$CU7</f>
        <v/>
      </c>
      <c r="DP7" s="45">
        <f>$CQ7+$CV7</f>
        <v/>
      </c>
      <c r="DQ7" s="45">
        <f>$CR7+$CW7</f>
        <v/>
      </c>
      <c r="DR7" s="45">
        <f>$CS7+$CX7</f>
        <v/>
      </c>
      <c r="DS7" s="45">
        <f>0</f>
        <v/>
      </c>
      <c r="DT7" s="45">
        <f>SUMPRODUCT($AZ7:$BD7,$DD7:$DH7)</f>
        <v/>
      </c>
      <c r="DU7" s="45">
        <f>SUM($DD7:$DF7)</f>
        <v/>
      </c>
      <c r="DV7" s="45">
        <f>SUM($DD7:$DH7)</f>
        <v/>
      </c>
      <c r="DW7" s="45">
        <f>SUMPRODUCT($AZ7:$BD7,$DI7:$DM7,$BJ7:$BN7)+SUMPRODUCT($AZ7:$BD7,$DN7:$DR7,$BO7:$BS7)-$DS7/(1+$AM7)^$AX7</f>
        <v/>
      </c>
      <c r="DX7" s="43">
        <f>IF($CE7&gt;0,ROUNDUP($CE7/$AP7,0),0)</f>
        <v/>
      </c>
      <c r="DY7" s="43">
        <f>IF($CF7&gt;0,ROUNDUP($CF7/$AP7,0),0)</f>
        <v/>
      </c>
      <c r="DZ7" s="43">
        <f>IF($CG7&gt;0,ROUNDUP($CG7/$AP7,0),0)</f>
        <v/>
      </c>
      <c r="EA7" s="43">
        <f>IF($CH7&gt;0,ROUNDUP($CH7/$AP7,0),0)</f>
        <v/>
      </c>
      <c r="EB7" s="43">
        <f>IF($CI7&gt;0,ROUNDUP($CI7/$AP7,0),0)</f>
        <v/>
      </c>
      <c r="EC7" s="43">
        <f>MAX($DX7,0)</f>
        <v/>
      </c>
      <c r="ED7" s="43">
        <f>MAX($DY7,$EC7)</f>
        <v/>
      </c>
      <c r="EE7" s="43">
        <f>MAX($DZ7,$ED7)</f>
        <v/>
      </c>
      <c r="EF7" s="43">
        <f>MAX($EA7,$EE7)</f>
        <v/>
      </c>
      <c r="EG7" s="43">
        <f>MAX($EB7,$EF7)</f>
        <v/>
      </c>
      <c r="EH7" s="43">
        <f>$EC7-0</f>
        <v/>
      </c>
      <c r="EI7" s="43">
        <f>$ED7-$EC7</f>
        <v/>
      </c>
      <c r="EJ7" s="43">
        <f>$EE7-$ED7</f>
        <v/>
      </c>
      <c r="EK7" s="43">
        <f>$EF7-$EE7</f>
        <v/>
      </c>
      <c r="EL7" s="43">
        <f>$EG7-$EF7</f>
        <v/>
      </c>
      <c r="EM7" s="43">
        <f>0</f>
        <v/>
      </c>
      <c r="EN7" s="43">
        <f>(1+$AY7=2)*$ER7</f>
        <v/>
      </c>
      <c r="EO7" s="43">
        <f>(1+$AY7=3)*$ER7+(2+$AY7=3)*$ES7</f>
        <v/>
      </c>
      <c r="EP7" s="43">
        <f>(1+$AY7=4)*$ER7+(2+$AY7=4)*$ES7+(3+$AY7=4)*$ET7</f>
        <v/>
      </c>
      <c r="EQ7" s="43">
        <f>(1+$AY7=5)*$ER7+(2+$AY7=5)*$ES7+(3+$AY7=5)*$ET7+(4+$AY7=5)*$EU7</f>
        <v/>
      </c>
      <c r="ER7" s="43">
        <f>$EH7+$EM7</f>
        <v/>
      </c>
      <c r="ES7" s="43">
        <f>$EI7+$EN7</f>
        <v/>
      </c>
      <c r="ET7" s="43">
        <f>$EJ7+$EO7</f>
        <v/>
      </c>
      <c r="EU7" s="43">
        <f>$EK7+$EP7</f>
        <v/>
      </c>
      <c r="EV7" s="43">
        <f>$EL7+$EQ7</f>
        <v/>
      </c>
      <c r="EW7" s="45">
        <f>$ER7*$V7</f>
        <v/>
      </c>
      <c r="EX7" s="45">
        <f>$ES7*$V7</f>
        <v/>
      </c>
      <c r="EY7" s="45">
        <f>$ET7*$V7</f>
        <v/>
      </c>
      <c r="EZ7" s="45">
        <f>$EU7*$V7</f>
        <v/>
      </c>
      <c r="FA7" s="45">
        <f>$EV7*$V7</f>
        <v/>
      </c>
      <c r="FB7" s="45">
        <f>$EM7*$V7*$X7</f>
        <v/>
      </c>
      <c r="FC7" s="45">
        <f>$EN7*$V7*$X7</f>
        <v/>
      </c>
      <c r="FD7" s="45">
        <f>$EO7*$V7*$X7</f>
        <v/>
      </c>
      <c r="FE7" s="45">
        <f>$EP7*$V7*$X7</f>
        <v/>
      </c>
      <c r="FF7" s="45">
        <f>$EQ7*$V7*$X7</f>
        <v/>
      </c>
      <c r="FG7" s="45">
        <f>$EC7*$V7*(1-$X7)/$AY7</f>
        <v/>
      </c>
      <c r="FH7" s="45">
        <f>$ED7*$V7*(1-$X7)/$AY7</f>
        <v/>
      </c>
      <c r="FI7" s="45">
        <f>$EE7*$V7*(1-$X7)/$AY7</f>
        <v/>
      </c>
      <c r="FJ7" s="45">
        <f>$EF7*$V7*(1-$X7)/$AY7</f>
        <v/>
      </c>
      <c r="FK7" s="45">
        <f>$EG7*$V7*(1-$X7)/$AY7</f>
        <v/>
      </c>
      <c r="FL7" s="45">
        <f>$EC7*$Y7*$Z7*$AA7*8760*$BE7</f>
        <v/>
      </c>
      <c r="FM7" s="45">
        <f>$ED7*$Y7*$Z7*$AA7*8760*$BF7</f>
        <v/>
      </c>
      <c r="FN7" s="45">
        <f>$EE7*$Y7*$Z7*$AA7*8760*$BG7</f>
        <v/>
      </c>
      <c r="FO7" s="45">
        <f>$EF7*$Y7*$Z7*$AA7*8760*$BH7</f>
        <v/>
      </c>
      <c r="FP7" s="45">
        <f>$EG7*$Y7*$Z7*$AA7*8760*$BI7</f>
        <v/>
      </c>
      <c r="FQ7" s="45">
        <f>IF($AC7&gt;0,$AC7,$EC7*$Y7*$AB7*12)*$BE7</f>
        <v/>
      </c>
      <c r="FR7" s="45">
        <f>IF($AC7&gt;0,$AC7,$ED7*$Y7*$AB7*12)*$BF7</f>
        <v/>
      </c>
      <c r="FS7" s="45">
        <f>IF($AC7&gt;0,$AC7,$EE7*$Y7*$AB7*12)*$BG7</f>
        <v/>
      </c>
      <c r="FT7" s="45">
        <f>IF($AC7&gt;0,$AC7,$EF7*$Y7*$AB7*12)*$BH7</f>
        <v/>
      </c>
      <c r="FU7" s="45">
        <f>IF($AC7&gt;0,$AC7,$EG7*$Y7*$AB7*12)*$BI7</f>
        <v/>
      </c>
      <c r="FV7" s="45">
        <f>$EC7*$V7*$AD7*$BE7</f>
        <v/>
      </c>
      <c r="FW7" s="45">
        <f>$ED7*$V7*$AD7*$BF7</f>
        <v/>
      </c>
      <c r="FX7" s="45">
        <f>$EE7*$V7*$AD7*$BG7</f>
        <v/>
      </c>
      <c r="FY7" s="45">
        <f>$EF7*$V7*$AD7*$BH7</f>
        <v/>
      </c>
      <c r="FZ7" s="45">
        <f>$EG7*$V7*$AD7*$BI7</f>
        <v/>
      </c>
      <c r="GA7" s="45">
        <f>$AE7*$BE7</f>
        <v/>
      </c>
      <c r="GB7" s="45">
        <f>$AE7*$BF7</f>
        <v/>
      </c>
      <c r="GC7" s="45">
        <f>$AE7*$BG7</f>
        <v/>
      </c>
      <c r="GD7" s="45">
        <f>$AE7*$BH7</f>
        <v/>
      </c>
      <c r="GE7" s="45">
        <f>$AE7*$BI7</f>
        <v/>
      </c>
      <c r="GF7" s="45">
        <f>$AF7*$AG7*$BE7</f>
        <v/>
      </c>
      <c r="GG7" s="45">
        <f>$AF7*$AG7*$BF7</f>
        <v/>
      </c>
      <c r="GH7" s="45">
        <f>$AF7*$AG7*$BG7</f>
        <v/>
      </c>
      <c r="GI7" s="45">
        <f>$AF7*$AG7*$BH7</f>
        <v/>
      </c>
      <c r="GJ7" s="45">
        <f>$AF7*$AG7*$BI7</f>
        <v/>
      </c>
      <c r="GK7" s="45">
        <f>IF(1=1,$AH7,0)</f>
        <v/>
      </c>
      <c r="GL7" s="45">
        <f>IF(2=1,$AH7,0)</f>
        <v/>
      </c>
      <c r="GM7" s="45">
        <f>IF(3=1,$AH7,0)</f>
        <v/>
      </c>
      <c r="GN7" s="45">
        <f>IF(4=1,$AH7,0)</f>
        <v/>
      </c>
      <c r="GO7" s="45">
        <f>IF(5=1,$AH7,0)</f>
        <v/>
      </c>
      <c r="GP7" s="45">
        <f>$FG7+$FL7+$FQ7+$FV7+$GA7+$GF7+$GK7</f>
        <v/>
      </c>
      <c r="GQ7" s="45">
        <f>$FH7+$FM7+$FR7+$FW7+$GB7+$GG7+$GL7</f>
        <v/>
      </c>
      <c r="GR7" s="45">
        <f>$FI7+$FN7+$FS7+$FX7+$GC7+$GH7+$GM7</f>
        <v/>
      </c>
      <c r="GS7" s="45">
        <f>$FJ7+$FO7+$FT7+$FY7+$GD7+$GI7+$GN7</f>
        <v/>
      </c>
      <c r="GT7" s="45">
        <f>$FK7+$FP7+$FU7+$FZ7+$GE7+$GJ7+$GO7</f>
        <v/>
      </c>
      <c r="GU7" s="45">
        <f>$EW7-$FB7+$GK7</f>
        <v/>
      </c>
      <c r="GV7" s="45">
        <f>$EX7-$FC7+$GL7</f>
        <v/>
      </c>
      <c r="GW7" s="45">
        <f>$EY7-$FD7+$GM7</f>
        <v/>
      </c>
      <c r="GX7" s="45">
        <f>$EZ7-$FE7+$GN7</f>
        <v/>
      </c>
      <c r="GY7" s="45">
        <f>$FA7-$FF7+$GO7</f>
        <v/>
      </c>
      <c r="GZ7" s="45">
        <f>$FL7+$FQ7+$FV7+$GA7+$GF7</f>
        <v/>
      </c>
      <c r="HA7" s="45">
        <f>$FM7+$FR7+$FW7+$GB7+$GG7</f>
        <v/>
      </c>
      <c r="HB7" s="45">
        <f>$FN7+$FS7+$FX7+$GC7+$GH7</f>
        <v/>
      </c>
      <c r="HC7" s="45">
        <f>$FO7+$FT7+$FY7+$GD7+$GI7</f>
        <v/>
      </c>
      <c r="HD7" s="45">
        <f>$FP7+$FU7+$FZ7+$GE7+$GJ7</f>
        <v/>
      </c>
      <c r="HE7" s="45">
        <f>((1&lt;=$AX7)*(1&gt;$AX7-$AY7))*$ER7*$V7*MAX(0,1-(1-$X7)*($AX7-1+1)/$AY7)+((2&lt;=$AX7)*(2&gt;$AX7-$AY7))*$ES7*$V7*MAX(0,1-(1-$X7)*($AX7-2+1)/$AY7)+((3&lt;=$AX7)*(3&gt;$AX7-$AY7))*$ET7*$V7*MAX(0,1-(1-$X7)*($AX7-3+1)/$AY7)+((4&lt;=$AX7)*(4&gt;$AX7-$AY7))*$EU7*$V7*MAX(0,1-(1-$X7)*($AX7-4+1)/$AY7)+((5&lt;=$AX7)*(5&gt;$AX7-$AY7))*$EV7*$V7*MAX(0,1-(1-$X7)*($AX7-5+1)/$AY7)</f>
        <v/>
      </c>
      <c r="HF7" s="45">
        <f>SUMPRODUCT($AZ7:$BD7,$GP7:$GT7)</f>
        <v/>
      </c>
      <c r="HG7" s="45">
        <f>SUM($GP7:$GR7)</f>
        <v/>
      </c>
      <c r="HH7" s="45">
        <f>SUM($GP7:$GT7)</f>
        <v/>
      </c>
      <c r="HI7" s="45">
        <f>SUMPRODUCT($AZ7:$BD7,$GU7:$GY7,$BJ7:$BN7)+SUMPRODUCT($AZ7:$BD7,$GZ7:$HD7,$BO7:$BS7)-$HE7/(1+$AM7)^$AX7</f>
        <v/>
      </c>
      <c r="HJ7" s="46">
        <f>MIN(1,MAX(0,IF(ISNUMBER($AJ7),$AJ7,IF($F7+$G7+$H7&gt;0,($G7+$H7)/($F7+$G7+$H7),0))*$AR7))</f>
        <v/>
      </c>
      <c r="HK7" s="25">
        <f>IF($HJ7&gt;0,1,0)</f>
        <v/>
      </c>
      <c r="HL7" s="25">
        <f>IF($HJ7&lt;1,1,0)</f>
        <v/>
      </c>
      <c r="HM7" s="43">
        <f>IF($CE7*$HJ7&gt;0,ROUNDUP($CE7*$HJ7/$AP7,0),0)</f>
        <v/>
      </c>
      <c r="HN7" s="43">
        <f>IF($CF7*$HJ7&gt;0,ROUNDUP($CF7*$HJ7/$AP7,0),0)</f>
        <v/>
      </c>
      <c r="HO7" s="43">
        <f>IF($CG7*$HJ7&gt;0,ROUNDUP($CG7*$HJ7/$AP7,0),0)</f>
        <v/>
      </c>
      <c r="HP7" s="43">
        <f>IF($CH7*$HJ7&gt;0,ROUNDUP($CH7*$HJ7/$AP7,0),0)</f>
        <v/>
      </c>
      <c r="HQ7" s="43">
        <f>IF($CI7*$HJ7&gt;0,ROUNDUP($CI7*$HJ7/$AP7,0),0)</f>
        <v/>
      </c>
      <c r="HR7" s="43">
        <f>MAX($HM7,0)</f>
        <v/>
      </c>
      <c r="HS7" s="43">
        <f>MAX($HN7,$HR7)</f>
        <v/>
      </c>
      <c r="HT7" s="43">
        <f>MAX($HO7,$HS7)</f>
        <v/>
      </c>
      <c r="HU7" s="43">
        <f>MAX($HP7,$HT7)</f>
        <v/>
      </c>
      <c r="HV7" s="43">
        <f>MAX($HQ7,$HU7)</f>
        <v/>
      </c>
      <c r="HW7" s="43">
        <f>$HR7-0</f>
        <v/>
      </c>
      <c r="HX7" s="43">
        <f>$HS7-$HR7</f>
        <v/>
      </c>
      <c r="HY7" s="43">
        <f>$HT7-$HS7</f>
        <v/>
      </c>
      <c r="HZ7" s="43">
        <f>$HU7-$HT7</f>
        <v/>
      </c>
      <c r="IA7" s="43">
        <f>$HV7-$HU7</f>
        <v/>
      </c>
      <c r="IB7" s="43">
        <f>0</f>
        <v/>
      </c>
      <c r="IC7" s="43">
        <f>(1+$AY7=2)*$IG7</f>
        <v/>
      </c>
      <c r="ID7" s="43">
        <f>(1+$AY7=3)*$IG7+(2+$AY7=3)*$IH7</f>
        <v/>
      </c>
      <c r="IE7" s="43">
        <f>(1+$AY7=4)*$IG7+(2+$AY7=4)*$IH7+(3+$AY7=4)*$II7</f>
        <v/>
      </c>
      <c r="IF7" s="43">
        <f>(1+$AY7=5)*$IG7+(2+$AY7=5)*$IH7+(3+$AY7=5)*$II7+(4+$AY7=5)*$IJ7</f>
        <v/>
      </c>
      <c r="IG7" s="43">
        <f>$HW7+$IB7</f>
        <v/>
      </c>
      <c r="IH7" s="43">
        <f>$HX7+$IC7</f>
        <v/>
      </c>
      <c r="II7" s="43">
        <f>$HY7+$ID7</f>
        <v/>
      </c>
      <c r="IJ7" s="43">
        <f>$HZ7+$IE7</f>
        <v/>
      </c>
      <c r="IK7" s="43">
        <f>$IA7+$IF7</f>
        <v/>
      </c>
      <c r="IL7" s="45">
        <f>$IG7*$V7</f>
        <v/>
      </c>
      <c r="IM7" s="45">
        <f>$IH7*$V7</f>
        <v/>
      </c>
      <c r="IN7" s="45">
        <f>$II7*$V7</f>
        <v/>
      </c>
      <c r="IO7" s="45">
        <f>$IJ7*$V7</f>
        <v/>
      </c>
      <c r="IP7" s="45">
        <f>$IK7*$V7</f>
        <v/>
      </c>
      <c r="IQ7" s="45">
        <f>$IB7*$V7*$X7</f>
        <v/>
      </c>
      <c r="IR7" s="45">
        <f>$IC7*$V7*$X7</f>
        <v/>
      </c>
      <c r="IS7" s="45">
        <f>$ID7*$V7*$X7</f>
        <v/>
      </c>
      <c r="IT7" s="45">
        <f>$IE7*$V7*$X7</f>
        <v/>
      </c>
      <c r="IU7" s="45">
        <f>$IF7*$V7*$X7</f>
        <v/>
      </c>
      <c r="IV7" s="45">
        <f>$HR7*$V7*(1-$X7)/$AY7</f>
        <v/>
      </c>
      <c r="IW7" s="45">
        <f>$HS7*$V7*(1-$X7)/$AY7</f>
        <v/>
      </c>
      <c r="IX7" s="45">
        <f>$HT7*$V7*(1-$X7)/$AY7</f>
        <v/>
      </c>
      <c r="IY7" s="45">
        <f>$HU7*$V7*(1-$X7)/$AY7</f>
        <v/>
      </c>
      <c r="IZ7" s="45">
        <f>$HV7*$V7*(1-$X7)/$AY7</f>
        <v/>
      </c>
      <c r="JA7" s="45">
        <f>$HR7*$Y7*$Z7*$AA7*8760*$BE7</f>
        <v/>
      </c>
      <c r="JB7" s="45">
        <f>$HS7*$Y7*$Z7*$AA7*8760*$BF7</f>
        <v/>
      </c>
      <c r="JC7" s="45">
        <f>$HT7*$Y7*$Z7*$AA7*8760*$BG7</f>
        <v/>
      </c>
      <c r="JD7" s="45">
        <f>$HU7*$Y7*$Z7*$AA7*8760*$BH7</f>
        <v/>
      </c>
      <c r="JE7" s="45">
        <f>$HV7*$Y7*$Z7*$AA7*8760*$BI7</f>
        <v/>
      </c>
      <c r="JF7" s="45">
        <f>IF($AC7&gt;0,$AC7*$HK7,$HR7*$Y7*$AB7*12)*$BE7</f>
        <v/>
      </c>
      <c r="JG7" s="45">
        <f>IF($AC7&gt;0,$AC7*$HK7,$HS7*$Y7*$AB7*12)*$BF7</f>
        <v/>
      </c>
      <c r="JH7" s="45">
        <f>IF($AC7&gt;0,$AC7*$HK7,$HT7*$Y7*$AB7*12)*$BG7</f>
        <v/>
      </c>
      <c r="JI7" s="45">
        <f>IF($AC7&gt;0,$AC7*$HK7,$HU7*$Y7*$AB7*12)*$BH7</f>
        <v/>
      </c>
      <c r="JJ7" s="45">
        <f>IF($AC7&gt;0,$AC7*$HK7,$HV7*$Y7*$AB7*12)*$BI7</f>
        <v/>
      </c>
      <c r="JK7" s="45">
        <f>$HR7*$V7*$AD7*$BE7</f>
        <v/>
      </c>
      <c r="JL7" s="45">
        <f>$HS7*$V7*$AD7*$BF7</f>
        <v/>
      </c>
      <c r="JM7" s="45">
        <f>$HT7*$V7*$AD7*$BG7</f>
        <v/>
      </c>
      <c r="JN7" s="45">
        <f>$HU7*$V7*$AD7*$BH7</f>
        <v/>
      </c>
      <c r="JO7" s="45">
        <f>$HV7*$V7*$AD7*$BI7</f>
        <v/>
      </c>
      <c r="JP7" s="45">
        <f>$AE7*$BE7*$HK7</f>
        <v/>
      </c>
      <c r="JQ7" s="45">
        <f>$AE7*$BF7*$HK7</f>
        <v/>
      </c>
      <c r="JR7" s="45">
        <f>$AE7*$BG7*$HK7</f>
        <v/>
      </c>
      <c r="JS7" s="45">
        <f>$AE7*$BH7*$HK7</f>
        <v/>
      </c>
      <c r="JT7" s="45">
        <f>$AE7*$BI7*$HK7</f>
        <v/>
      </c>
      <c r="JU7" s="45">
        <f>$AQ7*$AG7*$BE7*$HK7</f>
        <v/>
      </c>
      <c r="JV7" s="45">
        <f>$AQ7*$AG7*$BF7*$HK7</f>
        <v/>
      </c>
      <c r="JW7" s="45">
        <f>$AQ7*$AG7*$BG7*$HK7</f>
        <v/>
      </c>
      <c r="JX7" s="45">
        <f>$AQ7*$AG7*$BH7*$HK7</f>
        <v/>
      </c>
      <c r="JY7" s="45">
        <f>$AQ7*$AG7*$BI7*$HK7</f>
        <v/>
      </c>
      <c r="JZ7" s="45">
        <f>$BU7*(1-$HJ7)/1000000*$CJ7</f>
        <v/>
      </c>
      <c r="KA7" s="45">
        <f>$BV7*(1-$HJ7)/1000000*$CK7</f>
        <v/>
      </c>
      <c r="KB7" s="45">
        <f>$BW7*(1-$HJ7)/1000000*$CL7</f>
        <v/>
      </c>
      <c r="KC7" s="45">
        <f>$BX7*(1-$HJ7)/1000000*$CM7</f>
        <v/>
      </c>
      <c r="KD7" s="45">
        <f>$BY7*(1-$HJ7)/1000000*$CN7</f>
        <v/>
      </c>
      <c r="KE7" s="45">
        <f>$CT7*$HL7</f>
        <v/>
      </c>
      <c r="KF7" s="45">
        <f>$CU7*$HL7</f>
        <v/>
      </c>
      <c r="KG7" s="45">
        <f>$CV7*$HL7</f>
        <v/>
      </c>
      <c r="KH7" s="45">
        <f>$CW7*$HL7</f>
        <v/>
      </c>
      <c r="KI7" s="45">
        <f>$CX7*$HL7</f>
        <v/>
      </c>
      <c r="KJ7" s="45">
        <f>IF(1=1,$R7*$HL7+$AH7*$HK7+$AK7,0)</f>
        <v/>
      </c>
      <c r="KK7" s="45">
        <f>IF(2=1,$R7*$HL7+$AH7*$HK7+$AK7,0)</f>
        <v/>
      </c>
      <c r="KL7" s="45">
        <f>IF(3=1,$R7*$HL7+$AH7*$HK7+$AK7,0)</f>
        <v/>
      </c>
      <c r="KM7" s="45">
        <f>IF(4=1,$R7*$HL7+$AH7*$HK7+$AK7,0)</f>
        <v/>
      </c>
      <c r="KN7" s="45">
        <f>IF(5=1,$R7*$HL7+$AH7*$HK7+$AK7,0)</f>
        <v/>
      </c>
      <c r="KO7" s="45">
        <f>$IV7+$JA7+$JF7+$JK7+$JP7+$JU7+$JZ7+$KE7+$KJ7</f>
        <v/>
      </c>
      <c r="KP7" s="45">
        <f>$IW7+$JB7+$JG7+$JL7+$JQ7+$JV7+$KA7+$KF7+$KK7</f>
        <v/>
      </c>
      <c r="KQ7" s="45">
        <f>$IX7+$JC7+$JH7+$JM7+$JR7+$JW7+$KB7+$KG7+$KL7</f>
        <v/>
      </c>
      <c r="KR7" s="45">
        <f>$IY7+$JD7+$JI7+$JN7+$JS7+$JX7+$KC7+$KH7+$KM7</f>
        <v/>
      </c>
      <c r="KS7" s="45">
        <f>$IZ7+$JE7+$JJ7+$JO7+$JT7+$JY7+$KD7+$KI7+$KN7</f>
        <v/>
      </c>
      <c r="KT7" s="45">
        <f>$IL7-$IQ7+$KJ7</f>
        <v/>
      </c>
      <c r="KU7" s="45">
        <f>$IM7-$IR7+$KK7</f>
        <v/>
      </c>
      <c r="KV7" s="45">
        <f>$IN7-$IS7+$KL7</f>
        <v/>
      </c>
      <c r="KW7" s="45">
        <f>$IO7-$IT7+$KM7</f>
        <v/>
      </c>
      <c r="KX7" s="45">
        <f>$IP7-$IU7+$KN7</f>
        <v/>
      </c>
      <c r="KY7" s="45">
        <f>$JA7+$JF7+$JK7+$JP7+$JU7+$JZ7+$KE7</f>
        <v/>
      </c>
      <c r="KZ7" s="45">
        <f>$JB7+$JG7+$JL7+$JQ7+$JV7+$KA7+$KF7</f>
        <v/>
      </c>
      <c r="LA7" s="45">
        <f>$JC7+$JH7+$JM7+$JR7+$JW7+$KB7+$KG7</f>
        <v/>
      </c>
      <c r="LB7" s="45">
        <f>$JD7+$JI7+$JN7+$JS7+$JX7+$KC7+$KH7</f>
        <v/>
      </c>
      <c r="LC7" s="45">
        <f>$JE7+$JJ7+$JO7+$JT7+$JY7+$KD7+$KI7</f>
        <v/>
      </c>
      <c r="LD7" s="45">
        <f>((1&lt;=$AX7)*(1&gt;$AX7-$AY7))*$IG7*$V7*MAX(0,1-(1-$X7)*($AX7-1+1)/$AY7)+((2&lt;=$AX7)*(2&gt;$AX7-$AY7))*$IH7*$V7*MAX(0,1-(1-$X7)*($AX7-2+1)/$AY7)+((3&lt;=$AX7)*(3&gt;$AX7-$AY7))*$II7*$V7*MAX(0,1-(1-$X7)*($AX7-3+1)/$AY7)+((4&lt;=$AX7)*(4&gt;$AX7-$AY7))*$IJ7*$V7*MAX(0,1-(1-$X7)*($AX7-4+1)/$AY7)+((5&lt;=$AX7)*(5&gt;$AX7-$AY7))*$IK7*$V7*MAX(0,1-(1-$X7)*($AX7-5+1)/$AY7)</f>
        <v/>
      </c>
      <c r="LE7" s="45">
        <f>SUMPRODUCT($AZ7:$BD7,$KO7:$KS7)</f>
        <v/>
      </c>
      <c r="LF7" s="45">
        <f>SUM($KO7:$KQ7)</f>
        <v/>
      </c>
      <c r="LG7" s="45">
        <f>SUM($KO7:$KS7)</f>
        <v/>
      </c>
      <c r="LH7" s="45">
        <f>SUMPRODUCT($AZ7:$BD7,$KT7:$KX7,$BJ7:$BN7)+SUMPRODUCT($AZ7:$BD7,$KY7:$LC7,$BO7:$BS7)-$LD7/(1+$AM7)^$AX7</f>
        <v/>
      </c>
      <c r="LI7" s="43">
        <f>$BU7/1000000</f>
        <v/>
      </c>
      <c r="LJ7" s="44">
        <f>IF($LI7&gt;0,$DD7/$LI7,0)</f>
        <v/>
      </c>
      <c r="LK7" s="44">
        <f>IF($LI7&gt;0,$GP7/$LI7,0)</f>
        <v/>
      </c>
      <c r="LL7" s="44">
        <f>IF($LI7&gt;0,$KO7/$LI7,0)</f>
        <v/>
      </c>
      <c r="LM7" s="43">
        <f>$AP7*31536000/1000000</f>
        <v/>
      </c>
      <c r="LN7" s="43">
        <f>$EC7*$LM7</f>
        <v/>
      </c>
      <c r="LO7" s="45">
        <f>$FG7+$FL7+$FQ7+$FV7+$GA7+$GF7</f>
        <v/>
      </c>
      <c r="LP7" s="46">
        <f>IF($LN7*$CJ7&gt;0,MAX(0,($LO7-$CT7)/($LN7*$CJ7)),0)</f>
        <v/>
      </c>
      <c r="LQ7" s="46">
        <f>IF($LN7&gt;0,$LI7/$LN7,0)</f>
        <v/>
      </c>
      <c r="LR7" s="46">
        <f>1/($M7*$AI7)</f>
        <v/>
      </c>
      <c r="LS7" s="43">
        <f>$HR7*$LM7</f>
        <v/>
      </c>
      <c r="LT7" s="45">
        <f>$IV7+$JA7+$JF7+$JK7+$JP7+$JU7</f>
        <v/>
      </c>
      <c r="LU7" s="46">
        <f>IF($LS7*$CJ7&gt;0,$LT7/($LS7*$CJ7),0)</f>
        <v/>
      </c>
      <c r="LV7" s="46">
        <f>IF($LS7&gt;0,$LI7*$HJ7/$LS7,0)</f>
        <v/>
      </c>
      <c r="LW7" s="45">
        <f>$V7*(1-$X7)/$AY7+$Y7*$Z7*$AA7*8760+IF($AC7&gt;0,0,$Y7*$AB7*12)+$V7*$AD7</f>
        <v/>
      </c>
      <c r="LX7" s="46">
        <f>IF($LM7*$CJ7&gt;0,$LW7/($LM7*$CJ7),0)</f>
        <v/>
      </c>
      <c r="LY7" s="44">
        <f>IF($LM7*$LR7&gt;0,$LW7/($LM7*$LR7),0)</f>
        <v/>
      </c>
      <c r="LZ7" s="45">
        <f>$AE7+$AF7*$AG7+IF($AC7&gt;0,$AC7,0)-$CT7</f>
        <v/>
      </c>
      <c r="MA7" s="43">
        <f>IF($CJ7&gt;$LY7,MAX(0,$LZ7)/($CJ7-$LY7)*1000000,"Not reachable")</f>
        <v/>
      </c>
      <c r="MB7" s="47">
        <f>IF(AND(ISNUMBER($MA7),$BU7&gt;0),$MA7/$BU7,"n/a")</f>
        <v/>
      </c>
      <c r="MC7" s="47">
        <f>$B7*MAX(0,$D7-1)*$E7</f>
        <v/>
      </c>
      <c r="MD7" s="45">
        <f>$MC7*$C7</f>
        <v/>
      </c>
      <c r="ME7" s="45">
        <f>$MD7*SUMPRODUCT($AZ7:$BD7,$BO7:$BS7)</f>
        <v/>
      </c>
      <c r="MF7" s="45">
        <f>IF($AO7="Yes",$ME7-$DW7,0)</f>
        <v/>
      </c>
      <c r="MG7" s="45">
        <f>IF($AO7="Yes",$ME7-$HI7,0)</f>
        <v/>
      </c>
      <c r="MH7" s="45">
        <f>IF($AO7="Yes",$ME7-$LH7,0)</f>
        <v/>
      </c>
      <c r="MI7" s="45">
        <f>IF($AO7="Yes",$MD7-$DD7,0)</f>
        <v/>
      </c>
      <c r="MJ7" s="25">
        <f>IF(AND($DW7&lt;=$HI7,$DW7&lt;=$LH7),"Rent the Frontier",IF($HI7&lt;=$LH7,"Own the Frontier","Hybrid"))</f>
        <v/>
      </c>
      <c r="MK7" s="25">
        <f>IF(AND($DT7&lt;=$HF7,$DT7&lt;=$LE7),"Rent the Frontier",IF($HF7&lt;=$LE7,"Own the Frontier","Hybrid"))</f>
        <v/>
      </c>
    </row>
    <row r="8">
      <c r="A8" s="25">
        <f>Sensitivity!A11&amp;" ("&amp;Sensitivity!C11&amp;")"</f>
        <v/>
      </c>
      <c r="B8" s="25">
        <f>Inputs!$B$5</f>
        <v/>
      </c>
      <c r="C8" s="25">
        <f>Inputs!$B$6</f>
        <v/>
      </c>
      <c r="D8" s="25">
        <f>Inputs!$B$7</f>
        <v/>
      </c>
      <c r="E8" s="25">
        <f>MIN(1,Inputs!$B$8*Sensitivity!$D$11)</f>
        <v/>
      </c>
      <c r="F8" s="25">
        <f>Inputs!$B$12</f>
        <v/>
      </c>
      <c r="G8" s="25">
        <f>Inputs!$B$13</f>
        <v/>
      </c>
      <c r="H8" s="25">
        <f>Inputs!$B$14</f>
        <v/>
      </c>
      <c r="I8" s="25">
        <f>Inputs!$B$18</f>
        <v/>
      </c>
      <c r="J8" s="25">
        <f>Inputs!$B$19</f>
        <v/>
      </c>
      <c r="K8" s="25">
        <f>Inputs!$B$20</f>
        <v/>
      </c>
      <c r="L8" s="25">
        <f>Inputs!$B$21</f>
        <v/>
      </c>
      <c r="M8" s="25">
        <f>Inputs!$B$22</f>
        <v/>
      </c>
      <c r="N8" s="25">
        <f>Inputs!$B$23</f>
        <v/>
      </c>
      <c r="O8" s="25">
        <f>Inputs!$B$26</f>
        <v/>
      </c>
      <c r="P8" s="25">
        <f>Inputs!$B$27</f>
        <v/>
      </c>
      <c r="Q8" s="25">
        <f>Inputs!$B$28</f>
        <v/>
      </c>
      <c r="R8" s="25">
        <f>Inputs!$B$29</f>
        <v/>
      </c>
      <c r="S8" s="25">
        <f>Inputs!$B$30</f>
        <v/>
      </c>
      <c r="T8" s="25">
        <f>Inputs!$B$31</f>
        <v/>
      </c>
      <c r="U8" s="25">
        <f>Inputs!$B$32</f>
        <v/>
      </c>
      <c r="V8" s="25">
        <f>Inputs!$B$35</f>
        <v/>
      </c>
      <c r="W8" s="25">
        <f>Inputs!$B$36</f>
        <v/>
      </c>
      <c r="X8" s="25">
        <f>Inputs!$B$37</f>
        <v/>
      </c>
      <c r="Y8" s="25">
        <f>Inputs!$B$38</f>
        <v/>
      </c>
      <c r="Z8" s="25">
        <f>Inputs!$B$39</f>
        <v/>
      </c>
      <c r="AA8" s="25">
        <f>Inputs!$B$40</f>
        <v/>
      </c>
      <c r="AB8" s="25">
        <f>Inputs!$B$41</f>
        <v/>
      </c>
      <c r="AC8" s="25">
        <f>Inputs!$B$42</f>
        <v/>
      </c>
      <c r="AD8" s="25">
        <f>Inputs!$B$43</f>
        <v/>
      </c>
      <c r="AE8" s="25">
        <f>Inputs!$B$44</f>
        <v/>
      </c>
      <c r="AF8" s="25">
        <f>Inputs!$B$45</f>
        <v/>
      </c>
      <c r="AG8" s="25">
        <f>Inputs!$B$46</f>
        <v/>
      </c>
      <c r="AH8" s="25">
        <f>Inputs!$B$47</f>
        <v/>
      </c>
      <c r="AI8" s="25">
        <f>Inputs!$B$48</f>
        <v/>
      </c>
      <c r="AJ8" s="25">
        <f>IF(ISNUMBER(Inputs!$B$51),Inputs!$B$51,"")</f>
        <v/>
      </c>
      <c r="AK8" s="25">
        <f>Inputs!$B$52</f>
        <v/>
      </c>
      <c r="AL8" s="25">
        <f>Inputs!$B$55</f>
        <v/>
      </c>
      <c r="AM8" s="25">
        <f>Inputs!$B$56</f>
        <v/>
      </c>
      <c r="AN8" s="25">
        <f>Inputs!$B$57</f>
        <v/>
      </c>
      <c r="AO8" s="25">
        <f>Inputs!$B$58</f>
        <v/>
      </c>
      <c r="AP8" s="25">
        <f>Inputs!$B$61</f>
        <v/>
      </c>
      <c r="AQ8" s="25">
        <f>Inputs!$B$62</f>
        <v/>
      </c>
      <c r="AR8" s="25">
        <f>1</f>
        <v/>
      </c>
      <c r="AS8" s="25" t="n">
        <v>1</v>
      </c>
      <c r="AT8" s="25" t="n">
        <v>2</v>
      </c>
      <c r="AU8" s="25" t="n">
        <v>3</v>
      </c>
      <c r="AV8" s="25" t="n">
        <v>4</v>
      </c>
      <c r="AW8" s="25" t="n">
        <v>5</v>
      </c>
      <c r="AX8" s="25">
        <f>MIN(5,MAX(1,ROUND($AL8,0)))</f>
        <v/>
      </c>
      <c r="AY8" s="25">
        <f>MAX(1,ROUND($W8,0))</f>
        <v/>
      </c>
      <c r="AZ8" s="25">
        <f>IF(1&lt;=$AX8,1,0)</f>
        <v/>
      </c>
      <c r="BA8" s="25">
        <f>IF(2&lt;=$AX8,1,0)</f>
        <v/>
      </c>
      <c r="BB8" s="25">
        <f>IF(3&lt;=$AX8,1,0)</f>
        <v/>
      </c>
      <c r="BC8" s="25">
        <f>IF(4&lt;=$AX8,1,0)</f>
        <v/>
      </c>
      <c r="BD8" s="25">
        <f>IF(5&lt;=$AX8,1,0)</f>
        <v/>
      </c>
      <c r="BE8" s="52">
        <f>(1+$AN8)^(1-1)</f>
        <v/>
      </c>
      <c r="BF8" s="52">
        <f>(1+$AN8)^(2-1)</f>
        <v/>
      </c>
      <c r="BG8" s="52">
        <f>(1+$AN8)^(3-1)</f>
        <v/>
      </c>
      <c r="BH8" s="52">
        <f>(1+$AN8)^(4-1)</f>
        <v/>
      </c>
      <c r="BI8" s="52">
        <f>(1+$AN8)^(5-1)</f>
        <v/>
      </c>
      <c r="BJ8" s="53">
        <f>1/(1+$AM8)^(1-1)</f>
        <v/>
      </c>
      <c r="BK8" s="53">
        <f>1/(1+$AM8)^(2-1)</f>
        <v/>
      </c>
      <c r="BL8" s="53">
        <f>1/(1+$AM8)^(3-1)</f>
        <v/>
      </c>
      <c r="BM8" s="53">
        <f>1/(1+$AM8)^(4-1)</f>
        <v/>
      </c>
      <c r="BN8" s="53">
        <f>1/(1+$AM8)^(5-1)</f>
        <v/>
      </c>
      <c r="BO8" s="53">
        <f>1/(1+$AM8)^1</f>
        <v/>
      </c>
      <c r="BP8" s="53">
        <f>1/(1+$AM8)^2</f>
        <v/>
      </c>
      <c r="BQ8" s="53">
        <f>1/(1+$AM8)^3</f>
        <v/>
      </c>
      <c r="BR8" s="53">
        <f>1/(1+$AM8)^4</f>
        <v/>
      </c>
      <c r="BS8" s="53">
        <f>1/(1+$AM8)^5</f>
        <v/>
      </c>
      <c r="BT8" s="43">
        <f>IF(AND($I8="Direct monthly estimate",$J8&gt;0),$J8,$D8*$K8*$L8)</f>
        <v/>
      </c>
      <c r="BU8" s="43">
        <f>$BT8*$B8*12*(1+$N8)^(1-1)</f>
        <v/>
      </c>
      <c r="BV8" s="43">
        <f>$BT8*$B8*12*(1+$N8)^(2-1)</f>
        <v/>
      </c>
      <c r="BW8" s="43">
        <f>$BT8*$B8*12*(1+$N8)^(3-1)</f>
        <v/>
      </c>
      <c r="BX8" s="43">
        <f>$BT8*$B8*12*(1+$N8)^(4-1)</f>
        <v/>
      </c>
      <c r="BY8" s="43">
        <f>$BT8*$B8*12*(1+$N8)^(5-1)</f>
        <v/>
      </c>
      <c r="BZ8" s="43">
        <f>$BU8/31536000*$M8</f>
        <v/>
      </c>
      <c r="CA8" s="43">
        <f>$BV8/31536000*$M8</f>
        <v/>
      </c>
      <c r="CB8" s="43">
        <f>$BW8/31536000*$M8</f>
        <v/>
      </c>
      <c r="CC8" s="43">
        <f>$BX8/31536000*$M8</f>
        <v/>
      </c>
      <c r="CD8" s="43">
        <f>$BY8/31536000*$M8</f>
        <v/>
      </c>
      <c r="CE8" s="43">
        <f>$BZ8*$AI8</f>
        <v/>
      </c>
      <c r="CF8" s="43">
        <f>$CA8*$AI8</f>
        <v/>
      </c>
      <c r="CG8" s="43">
        <f>$CB8*$AI8</f>
        <v/>
      </c>
      <c r="CH8" s="43">
        <f>$CC8*$AI8</f>
        <v/>
      </c>
      <c r="CI8" s="43">
        <f>$CD8*$AI8</f>
        <v/>
      </c>
      <c r="CJ8" s="44">
        <f>$O8*(1-$Q8)*(1-$P8)^(1-1)</f>
        <v/>
      </c>
      <c r="CK8" s="44">
        <f>$O8*(1-$Q8)*(1-$P8)^(2-1)</f>
        <v/>
      </c>
      <c r="CL8" s="44">
        <f>$O8*(1-$Q8)*(1-$P8)^(3-1)</f>
        <v/>
      </c>
      <c r="CM8" s="44">
        <f>$O8*(1-$Q8)*(1-$P8)^(4-1)</f>
        <v/>
      </c>
      <c r="CN8" s="44">
        <f>$O8*(1-$Q8)*(1-$P8)^(5-1)</f>
        <v/>
      </c>
      <c r="CO8" s="45">
        <f>$BU8/1000000*$CJ8</f>
        <v/>
      </c>
      <c r="CP8" s="45">
        <f>$BV8/1000000*$CK8</f>
        <v/>
      </c>
      <c r="CQ8" s="45">
        <f>$BW8/1000000*$CL8</f>
        <v/>
      </c>
      <c r="CR8" s="45">
        <f>$BX8/1000000*$CM8</f>
        <v/>
      </c>
      <c r="CS8" s="45">
        <f>$BY8/1000000*$CN8</f>
        <v/>
      </c>
      <c r="CT8" s="45">
        <f>($T8*$U8+$S8)*$BE8</f>
        <v/>
      </c>
      <c r="CU8" s="45">
        <f>($T8*$U8+$S8)*$BF8</f>
        <v/>
      </c>
      <c r="CV8" s="45">
        <f>($T8*$U8+$S8)*$BG8</f>
        <v/>
      </c>
      <c r="CW8" s="45">
        <f>($T8*$U8+$S8)*$BH8</f>
        <v/>
      </c>
      <c r="CX8" s="45">
        <f>($T8*$U8+$S8)*$BI8</f>
        <v/>
      </c>
      <c r="CY8" s="45">
        <f>IF(1=1,$R8,0)</f>
        <v/>
      </c>
      <c r="CZ8" s="45">
        <f>IF(2=1,$R8,0)</f>
        <v/>
      </c>
      <c r="DA8" s="45">
        <f>IF(3=1,$R8,0)</f>
        <v/>
      </c>
      <c r="DB8" s="45">
        <f>IF(4=1,$R8,0)</f>
        <v/>
      </c>
      <c r="DC8" s="45">
        <f>IF(5=1,$R8,0)</f>
        <v/>
      </c>
      <c r="DD8" s="45">
        <f>$CO8+$CT8+$CY8</f>
        <v/>
      </c>
      <c r="DE8" s="45">
        <f>$CP8+$CU8+$CZ8</f>
        <v/>
      </c>
      <c r="DF8" s="45">
        <f>$CQ8+$CV8+$DA8</f>
        <v/>
      </c>
      <c r="DG8" s="45">
        <f>$CR8+$CW8+$DB8</f>
        <v/>
      </c>
      <c r="DH8" s="45">
        <f>$CS8+$CX8+$DC8</f>
        <v/>
      </c>
      <c r="DI8" s="45">
        <f>$CY8</f>
        <v/>
      </c>
      <c r="DJ8" s="45">
        <f>$CZ8</f>
        <v/>
      </c>
      <c r="DK8" s="45">
        <f>$DA8</f>
        <v/>
      </c>
      <c r="DL8" s="45">
        <f>$DB8</f>
        <v/>
      </c>
      <c r="DM8" s="45">
        <f>$DC8</f>
        <v/>
      </c>
      <c r="DN8" s="45">
        <f>$CO8+$CT8</f>
        <v/>
      </c>
      <c r="DO8" s="45">
        <f>$CP8+$CU8</f>
        <v/>
      </c>
      <c r="DP8" s="45">
        <f>$CQ8+$CV8</f>
        <v/>
      </c>
      <c r="DQ8" s="45">
        <f>$CR8+$CW8</f>
        <v/>
      </c>
      <c r="DR8" s="45">
        <f>$CS8+$CX8</f>
        <v/>
      </c>
      <c r="DS8" s="45">
        <f>0</f>
        <v/>
      </c>
      <c r="DT8" s="45">
        <f>SUMPRODUCT($AZ8:$BD8,$DD8:$DH8)</f>
        <v/>
      </c>
      <c r="DU8" s="45">
        <f>SUM($DD8:$DF8)</f>
        <v/>
      </c>
      <c r="DV8" s="45">
        <f>SUM($DD8:$DH8)</f>
        <v/>
      </c>
      <c r="DW8" s="45">
        <f>SUMPRODUCT($AZ8:$BD8,$DI8:$DM8,$BJ8:$BN8)+SUMPRODUCT($AZ8:$BD8,$DN8:$DR8,$BO8:$BS8)-$DS8/(1+$AM8)^$AX8</f>
        <v/>
      </c>
      <c r="DX8" s="43">
        <f>IF($CE8&gt;0,ROUNDUP($CE8/$AP8,0),0)</f>
        <v/>
      </c>
      <c r="DY8" s="43">
        <f>IF($CF8&gt;0,ROUNDUP($CF8/$AP8,0),0)</f>
        <v/>
      </c>
      <c r="DZ8" s="43">
        <f>IF($CG8&gt;0,ROUNDUP($CG8/$AP8,0),0)</f>
        <v/>
      </c>
      <c r="EA8" s="43">
        <f>IF($CH8&gt;0,ROUNDUP($CH8/$AP8,0),0)</f>
        <v/>
      </c>
      <c r="EB8" s="43">
        <f>IF($CI8&gt;0,ROUNDUP($CI8/$AP8,0),0)</f>
        <v/>
      </c>
      <c r="EC8" s="43">
        <f>MAX($DX8,0)</f>
        <v/>
      </c>
      <c r="ED8" s="43">
        <f>MAX($DY8,$EC8)</f>
        <v/>
      </c>
      <c r="EE8" s="43">
        <f>MAX($DZ8,$ED8)</f>
        <v/>
      </c>
      <c r="EF8" s="43">
        <f>MAX($EA8,$EE8)</f>
        <v/>
      </c>
      <c r="EG8" s="43">
        <f>MAX($EB8,$EF8)</f>
        <v/>
      </c>
      <c r="EH8" s="43">
        <f>$EC8-0</f>
        <v/>
      </c>
      <c r="EI8" s="43">
        <f>$ED8-$EC8</f>
        <v/>
      </c>
      <c r="EJ8" s="43">
        <f>$EE8-$ED8</f>
        <v/>
      </c>
      <c r="EK8" s="43">
        <f>$EF8-$EE8</f>
        <v/>
      </c>
      <c r="EL8" s="43">
        <f>$EG8-$EF8</f>
        <v/>
      </c>
      <c r="EM8" s="43">
        <f>0</f>
        <v/>
      </c>
      <c r="EN8" s="43">
        <f>(1+$AY8=2)*$ER8</f>
        <v/>
      </c>
      <c r="EO8" s="43">
        <f>(1+$AY8=3)*$ER8+(2+$AY8=3)*$ES8</f>
        <v/>
      </c>
      <c r="EP8" s="43">
        <f>(1+$AY8=4)*$ER8+(2+$AY8=4)*$ES8+(3+$AY8=4)*$ET8</f>
        <v/>
      </c>
      <c r="EQ8" s="43">
        <f>(1+$AY8=5)*$ER8+(2+$AY8=5)*$ES8+(3+$AY8=5)*$ET8+(4+$AY8=5)*$EU8</f>
        <v/>
      </c>
      <c r="ER8" s="43">
        <f>$EH8+$EM8</f>
        <v/>
      </c>
      <c r="ES8" s="43">
        <f>$EI8+$EN8</f>
        <v/>
      </c>
      <c r="ET8" s="43">
        <f>$EJ8+$EO8</f>
        <v/>
      </c>
      <c r="EU8" s="43">
        <f>$EK8+$EP8</f>
        <v/>
      </c>
      <c r="EV8" s="43">
        <f>$EL8+$EQ8</f>
        <v/>
      </c>
      <c r="EW8" s="45">
        <f>$ER8*$V8</f>
        <v/>
      </c>
      <c r="EX8" s="45">
        <f>$ES8*$V8</f>
        <v/>
      </c>
      <c r="EY8" s="45">
        <f>$ET8*$V8</f>
        <v/>
      </c>
      <c r="EZ8" s="45">
        <f>$EU8*$V8</f>
        <v/>
      </c>
      <c r="FA8" s="45">
        <f>$EV8*$V8</f>
        <v/>
      </c>
      <c r="FB8" s="45">
        <f>$EM8*$V8*$X8</f>
        <v/>
      </c>
      <c r="FC8" s="45">
        <f>$EN8*$V8*$X8</f>
        <v/>
      </c>
      <c r="FD8" s="45">
        <f>$EO8*$V8*$X8</f>
        <v/>
      </c>
      <c r="FE8" s="45">
        <f>$EP8*$V8*$X8</f>
        <v/>
      </c>
      <c r="FF8" s="45">
        <f>$EQ8*$V8*$X8</f>
        <v/>
      </c>
      <c r="FG8" s="45">
        <f>$EC8*$V8*(1-$X8)/$AY8</f>
        <v/>
      </c>
      <c r="FH8" s="45">
        <f>$ED8*$V8*(1-$X8)/$AY8</f>
        <v/>
      </c>
      <c r="FI8" s="45">
        <f>$EE8*$V8*(1-$X8)/$AY8</f>
        <v/>
      </c>
      <c r="FJ8" s="45">
        <f>$EF8*$V8*(1-$X8)/$AY8</f>
        <v/>
      </c>
      <c r="FK8" s="45">
        <f>$EG8*$V8*(1-$X8)/$AY8</f>
        <v/>
      </c>
      <c r="FL8" s="45">
        <f>$EC8*$Y8*$Z8*$AA8*8760*$BE8</f>
        <v/>
      </c>
      <c r="FM8" s="45">
        <f>$ED8*$Y8*$Z8*$AA8*8760*$BF8</f>
        <v/>
      </c>
      <c r="FN8" s="45">
        <f>$EE8*$Y8*$Z8*$AA8*8760*$BG8</f>
        <v/>
      </c>
      <c r="FO8" s="45">
        <f>$EF8*$Y8*$Z8*$AA8*8760*$BH8</f>
        <v/>
      </c>
      <c r="FP8" s="45">
        <f>$EG8*$Y8*$Z8*$AA8*8760*$BI8</f>
        <v/>
      </c>
      <c r="FQ8" s="45">
        <f>IF($AC8&gt;0,$AC8,$EC8*$Y8*$AB8*12)*$BE8</f>
        <v/>
      </c>
      <c r="FR8" s="45">
        <f>IF($AC8&gt;0,$AC8,$ED8*$Y8*$AB8*12)*$BF8</f>
        <v/>
      </c>
      <c r="FS8" s="45">
        <f>IF($AC8&gt;0,$AC8,$EE8*$Y8*$AB8*12)*$BG8</f>
        <v/>
      </c>
      <c r="FT8" s="45">
        <f>IF($AC8&gt;0,$AC8,$EF8*$Y8*$AB8*12)*$BH8</f>
        <v/>
      </c>
      <c r="FU8" s="45">
        <f>IF($AC8&gt;0,$AC8,$EG8*$Y8*$AB8*12)*$BI8</f>
        <v/>
      </c>
      <c r="FV8" s="45">
        <f>$EC8*$V8*$AD8*$BE8</f>
        <v/>
      </c>
      <c r="FW8" s="45">
        <f>$ED8*$V8*$AD8*$BF8</f>
        <v/>
      </c>
      <c r="FX8" s="45">
        <f>$EE8*$V8*$AD8*$BG8</f>
        <v/>
      </c>
      <c r="FY8" s="45">
        <f>$EF8*$V8*$AD8*$BH8</f>
        <v/>
      </c>
      <c r="FZ8" s="45">
        <f>$EG8*$V8*$AD8*$BI8</f>
        <v/>
      </c>
      <c r="GA8" s="45">
        <f>$AE8*$BE8</f>
        <v/>
      </c>
      <c r="GB8" s="45">
        <f>$AE8*$BF8</f>
        <v/>
      </c>
      <c r="GC8" s="45">
        <f>$AE8*$BG8</f>
        <v/>
      </c>
      <c r="GD8" s="45">
        <f>$AE8*$BH8</f>
        <v/>
      </c>
      <c r="GE8" s="45">
        <f>$AE8*$BI8</f>
        <v/>
      </c>
      <c r="GF8" s="45">
        <f>$AF8*$AG8*$BE8</f>
        <v/>
      </c>
      <c r="GG8" s="45">
        <f>$AF8*$AG8*$BF8</f>
        <v/>
      </c>
      <c r="GH8" s="45">
        <f>$AF8*$AG8*$BG8</f>
        <v/>
      </c>
      <c r="GI8" s="45">
        <f>$AF8*$AG8*$BH8</f>
        <v/>
      </c>
      <c r="GJ8" s="45">
        <f>$AF8*$AG8*$BI8</f>
        <v/>
      </c>
      <c r="GK8" s="45">
        <f>IF(1=1,$AH8,0)</f>
        <v/>
      </c>
      <c r="GL8" s="45">
        <f>IF(2=1,$AH8,0)</f>
        <v/>
      </c>
      <c r="GM8" s="45">
        <f>IF(3=1,$AH8,0)</f>
        <v/>
      </c>
      <c r="GN8" s="45">
        <f>IF(4=1,$AH8,0)</f>
        <v/>
      </c>
      <c r="GO8" s="45">
        <f>IF(5=1,$AH8,0)</f>
        <v/>
      </c>
      <c r="GP8" s="45">
        <f>$FG8+$FL8+$FQ8+$FV8+$GA8+$GF8+$GK8</f>
        <v/>
      </c>
      <c r="GQ8" s="45">
        <f>$FH8+$FM8+$FR8+$FW8+$GB8+$GG8+$GL8</f>
        <v/>
      </c>
      <c r="GR8" s="45">
        <f>$FI8+$FN8+$FS8+$FX8+$GC8+$GH8+$GM8</f>
        <v/>
      </c>
      <c r="GS8" s="45">
        <f>$FJ8+$FO8+$FT8+$FY8+$GD8+$GI8+$GN8</f>
        <v/>
      </c>
      <c r="GT8" s="45">
        <f>$FK8+$FP8+$FU8+$FZ8+$GE8+$GJ8+$GO8</f>
        <v/>
      </c>
      <c r="GU8" s="45">
        <f>$EW8-$FB8+$GK8</f>
        <v/>
      </c>
      <c r="GV8" s="45">
        <f>$EX8-$FC8+$GL8</f>
        <v/>
      </c>
      <c r="GW8" s="45">
        <f>$EY8-$FD8+$GM8</f>
        <v/>
      </c>
      <c r="GX8" s="45">
        <f>$EZ8-$FE8+$GN8</f>
        <v/>
      </c>
      <c r="GY8" s="45">
        <f>$FA8-$FF8+$GO8</f>
        <v/>
      </c>
      <c r="GZ8" s="45">
        <f>$FL8+$FQ8+$FV8+$GA8+$GF8</f>
        <v/>
      </c>
      <c r="HA8" s="45">
        <f>$FM8+$FR8+$FW8+$GB8+$GG8</f>
        <v/>
      </c>
      <c r="HB8" s="45">
        <f>$FN8+$FS8+$FX8+$GC8+$GH8</f>
        <v/>
      </c>
      <c r="HC8" s="45">
        <f>$FO8+$FT8+$FY8+$GD8+$GI8</f>
        <v/>
      </c>
      <c r="HD8" s="45">
        <f>$FP8+$FU8+$FZ8+$GE8+$GJ8</f>
        <v/>
      </c>
      <c r="HE8" s="45">
        <f>((1&lt;=$AX8)*(1&gt;$AX8-$AY8))*$ER8*$V8*MAX(0,1-(1-$X8)*($AX8-1+1)/$AY8)+((2&lt;=$AX8)*(2&gt;$AX8-$AY8))*$ES8*$V8*MAX(0,1-(1-$X8)*($AX8-2+1)/$AY8)+((3&lt;=$AX8)*(3&gt;$AX8-$AY8))*$ET8*$V8*MAX(0,1-(1-$X8)*($AX8-3+1)/$AY8)+((4&lt;=$AX8)*(4&gt;$AX8-$AY8))*$EU8*$V8*MAX(0,1-(1-$X8)*($AX8-4+1)/$AY8)+((5&lt;=$AX8)*(5&gt;$AX8-$AY8))*$EV8*$V8*MAX(0,1-(1-$X8)*($AX8-5+1)/$AY8)</f>
        <v/>
      </c>
      <c r="HF8" s="45">
        <f>SUMPRODUCT($AZ8:$BD8,$GP8:$GT8)</f>
        <v/>
      </c>
      <c r="HG8" s="45">
        <f>SUM($GP8:$GR8)</f>
        <v/>
      </c>
      <c r="HH8" s="45">
        <f>SUM($GP8:$GT8)</f>
        <v/>
      </c>
      <c r="HI8" s="45">
        <f>SUMPRODUCT($AZ8:$BD8,$GU8:$GY8,$BJ8:$BN8)+SUMPRODUCT($AZ8:$BD8,$GZ8:$HD8,$BO8:$BS8)-$HE8/(1+$AM8)^$AX8</f>
        <v/>
      </c>
      <c r="HJ8" s="46">
        <f>MIN(1,MAX(0,IF(ISNUMBER($AJ8),$AJ8,IF($F8+$G8+$H8&gt;0,($G8+$H8)/($F8+$G8+$H8),0))*$AR8))</f>
        <v/>
      </c>
      <c r="HK8" s="25">
        <f>IF($HJ8&gt;0,1,0)</f>
        <v/>
      </c>
      <c r="HL8" s="25">
        <f>IF($HJ8&lt;1,1,0)</f>
        <v/>
      </c>
      <c r="HM8" s="43">
        <f>IF($CE8*$HJ8&gt;0,ROUNDUP($CE8*$HJ8/$AP8,0),0)</f>
        <v/>
      </c>
      <c r="HN8" s="43">
        <f>IF($CF8*$HJ8&gt;0,ROUNDUP($CF8*$HJ8/$AP8,0),0)</f>
        <v/>
      </c>
      <c r="HO8" s="43">
        <f>IF($CG8*$HJ8&gt;0,ROUNDUP($CG8*$HJ8/$AP8,0),0)</f>
        <v/>
      </c>
      <c r="HP8" s="43">
        <f>IF($CH8*$HJ8&gt;0,ROUNDUP($CH8*$HJ8/$AP8,0),0)</f>
        <v/>
      </c>
      <c r="HQ8" s="43">
        <f>IF($CI8*$HJ8&gt;0,ROUNDUP($CI8*$HJ8/$AP8,0),0)</f>
        <v/>
      </c>
      <c r="HR8" s="43">
        <f>MAX($HM8,0)</f>
        <v/>
      </c>
      <c r="HS8" s="43">
        <f>MAX($HN8,$HR8)</f>
        <v/>
      </c>
      <c r="HT8" s="43">
        <f>MAX($HO8,$HS8)</f>
        <v/>
      </c>
      <c r="HU8" s="43">
        <f>MAX($HP8,$HT8)</f>
        <v/>
      </c>
      <c r="HV8" s="43">
        <f>MAX($HQ8,$HU8)</f>
        <v/>
      </c>
      <c r="HW8" s="43">
        <f>$HR8-0</f>
        <v/>
      </c>
      <c r="HX8" s="43">
        <f>$HS8-$HR8</f>
        <v/>
      </c>
      <c r="HY8" s="43">
        <f>$HT8-$HS8</f>
        <v/>
      </c>
      <c r="HZ8" s="43">
        <f>$HU8-$HT8</f>
        <v/>
      </c>
      <c r="IA8" s="43">
        <f>$HV8-$HU8</f>
        <v/>
      </c>
      <c r="IB8" s="43">
        <f>0</f>
        <v/>
      </c>
      <c r="IC8" s="43">
        <f>(1+$AY8=2)*$IG8</f>
        <v/>
      </c>
      <c r="ID8" s="43">
        <f>(1+$AY8=3)*$IG8+(2+$AY8=3)*$IH8</f>
        <v/>
      </c>
      <c r="IE8" s="43">
        <f>(1+$AY8=4)*$IG8+(2+$AY8=4)*$IH8+(3+$AY8=4)*$II8</f>
        <v/>
      </c>
      <c r="IF8" s="43">
        <f>(1+$AY8=5)*$IG8+(2+$AY8=5)*$IH8+(3+$AY8=5)*$II8+(4+$AY8=5)*$IJ8</f>
        <v/>
      </c>
      <c r="IG8" s="43">
        <f>$HW8+$IB8</f>
        <v/>
      </c>
      <c r="IH8" s="43">
        <f>$HX8+$IC8</f>
        <v/>
      </c>
      <c r="II8" s="43">
        <f>$HY8+$ID8</f>
        <v/>
      </c>
      <c r="IJ8" s="43">
        <f>$HZ8+$IE8</f>
        <v/>
      </c>
      <c r="IK8" s="43">
        <f>$IA8+$IF8</f>
        <v/>
      </c>
      <c r="IL8" s="45">
        <f>$IG8*$V8</f>
        <v/>
      </c>
      <c r="IM8" s="45">
        <f>$IH8*$V8</f>
        <v/>
      </c>
      <c r="IN8" s="45">
        <f>$II8*$V8</f>
        <v/>
      </c>
      <c r="IO8" s="45">
        <f>$IJ8*$V8</f>
        <v/>
      </c>
      <c r="IP8" s="45">
        <f>$IK8*$V8</f>
        <v/>
      </c>
      <c r="IQ8" s="45">
        <f>$IB8*$V8*$X8</f>
        <v/>
      </c>
      <c r="IR8" s="45">
        <f>$IC8*$V8*$X8</f>
        <v/>
      </c>
      <c r="IS8" s="45">
        <f>$ID8*$V8*$X8</f>
        <v/>
      </c>
      <c r="IT8" s="45">
        <f>$IE8*$V8*$X8</f>
        <v/>
      </c>
      <c r="IU8" s="45">
        <f>$IF8*$V8*$X8</f>
        <v/>
      </c>
      <c r="IV8" s="45">
        <f>$HR8*$V8*(1-$X8)/$AY8</f>
        <v/>
      </c>
      <c r="IW8" s="45">
        <f>$HS8*$V8*(1-$X8)/$AY8</f>
        <v/>
      </c>
      <c r="IX8" s="45">
        <f>$HT8*$V8*(1-$X8)/$AY8</f>
        <v/>
      </c>
      <c r="IY8" s="45">
        <f>$HU8*$V8*(1-$X8)/$AY8</f>
        <v/>
      </c>
      <c r="IZ8" s="45">
        <f>$HV8*$V8*(1-$X8)/$AY8</f>
        <v/>
      </c>
      <c r="JA8" s="45">
        <f>$HR8*$Y8*$Z8*$AA8*8760*$BE8</f>
        <v/>
      </c>
      <c r="JB8" s="45">
        <f>$HS8*$Y8*$Z8*$AA8*8760*$BF8</f>
        <v/>
      </c>
      <c r="JC8" s="45">
        <f>$HT8*$Y8*$Z8*$AA8*8760*$BG8</f>
        <v/>
      </c>
      <c r="JD8" s="45">
        <f>$HU8*$Y8*$Z8*$AA8*8760*$BH8</f>
        <v/>
      </c>
      <c r="JE8" s="45">
        <f>$HV8*$Y8*$Z8*$AA8*8760*$BI8</f>
        <v/>
      </c>
      <c r="JF8" s="45">
        <f>IF($AC8&gt;0,$AC8*$HK8,$HR8*$Y8*$AB8*12)*$BE8</f>
        <v/>
      </c>
      <c r="JG8" s="45">
        <f>IF($AC8&gt;0,$AC8*$HK8,$HS8*$Y8*$AB8*12)*$BF8</f>
        <v/>
      </c>
      <c r="JH8" s="45">
        <f>IF($AC8&gt;0,$AC8*$HK8,$HT8*$Y8*$AB8*12)*$BG8</f>
        <v/>
      </c>
      <c r="JI8" s="45">
        <f>IF($AC8&gt;0,$AC8*$HK8,$HU8*$Y8*$AB8*12)*$BH8</f>
        <v/>
      </c>
      <c r="JJ8" s="45">
        <f>IF($AC8&gt;0,$AC8*$HK8,$HV8*$Y8*$AB8*12)*$BI8</f>
        <v/>
      </c>
      <c r="JK8" s="45">
        <f>$HR8*$V8*$AD8*$BE8</f>
        <v/>
      </c>
      <c r="JL8" s="45">
        <f>$HS8*$V8*$AD8*$BF8</f>
        <v/>
      </c>
      <c r="JM8" s="45">
        <f>$HT8*$V8*$AD8*$BG8</f>
        <v/>
      </c>
      <c r="JN8" s="45">
        <f>$HU8*$V8*$AD8*$BH8</f>
        <v/>
      </c>
      <c r="JO8" s="45">
        <f>$HV8*$V8*$AD8*$BI8</f>
        <v/>
      </c>
      <c r="JP8" s="45">
        <f>$AE8*$BE8*$HK8</f>
        <v/>
      </c>
      <c r="JQ8" s="45">
        <f>$AE8*$BF8*$HK8</f>
        <v/>
      </c>
      <c r="JR8" s="45">
        <f>$AE8*$BG8*$HK8</f>
        <v/>
      </c>
      <c r="JS8" s="45">
        <f>$AE8*$BH8*$HK8</f>
        <v/>
      </c>
      <c r="JT8" s="45">
        <f>$AE8*$BI8*$HK8</f>
        <v/>
      </c>
      <c r="JU8" s="45">
        <f>$AQ8*$AG8*$BE8*$HK8</f>
        <v/>
      </c>
      <c r="JV8" s="45">
        <f>$AQ8*$AG8*$BF8*$HK8</f>
        <v/>
      </c>
      <c r="JW8" s="45">
        <f>$AQ8*$AG8*$BG8*$HK8</f>
        <v/>
      </c>
      <c r="JX8" s="45">
        <f>$AQ8*$AG8*$BH8*$HK8</f>
        <v/>
      </c>
      <c r="JY8" s="45">
        <f>$AQ8*$AG8*$BI8*$HK8</f>
        <v/>
      </c>
      <c r="JZ8" s="45">
        <f>$BU8*(1-$HJ8)/1000000*$CJ8</f>
        <v/>
      </c>
      <c r="KA8" s="45">
        <f>$BV8*(1-$HJ8)/1000000*$CK8</f>
        <v/>
      </c>
      <c r="KB8" s="45">
        <f>$BW8*(1-$HJ8)/1000000*$CL8</f>
        <v/>
      </c>
      <c r="KC8" s="45">
        <f>$BX8*(1-$HJ8)/1000000*$CM8</f>
        <v/>
      </c>
      <c r="KD8" s="45">
        <f>$BY8*(1-$HJ8)/1000000*$CN8</f>
        <v/>
      </c>
      <c r="KE8" s="45">
        <f>$CT8*$HL8</f>
        <v/>
      </c>
      <c r="KF8" s="45">
        <f>$CU8*$HL8</f>
        <v/>
      </c>
      <c r="KG8" s="45">
        <f>$CV8*$HL8</f>
        <v/>
      </c>
      <c r="KH8" s="45">
        <f>$CW8*$HL8</f>
        <v/>
      </c>
      <c r="KI8" s="45">
        <f>$CX8*$HL8</f>
        <v/>
      </c>
      <c r="KJ8" s="45">
        <f>IF(1=1,$R8*$HL8+$AH8*$HK8+$AK8,0)</f>
        <v/>
      </c>
      <c r="KK8" s="45">
        <f>IF(2=1,$R8*$HL8+$AH8*$HK8+$AK8,0)</f>
        <v/>
      </c>
      <c r="KL8" s="45">
        <f>IF(3=1,$R8*$HL8+$AH8*$HK8+$AK8,0)</f>
        <v/>
      </c>
      <c r="KM8" s="45">
        <f>IF(4=1,$R8*$HL8+$AH8*$HK8+$AK8,0)</f>
        <v/>
      </c>
      <c r="KN8" s="45">
        <f>IF(5=1,$R8*$HL8+$AH8*$HK8+$AK8,0)</f>
        <v/>
      </c>
      <c r="KO8" s="45">
        <f>$IV8+$JA8+$JF8+$JK8+$JP8+$JU8+$JZ8+$KE8+$KJ8</f>
        <v/>
      </c>
      <c r="KP8" s="45">
        <f>$IW8+$JB8+$JG8+$JL8+$JQ8+$JV8+$KA8+$KF8+$KK8</f>
        <v/>
      </c>
      <c r="KQ8" s="45">
        <f>$IX8+$JC8+$JH8+$JM8+$JR8+$JW8+$KB8+$KG8+$KL8</f>
        <v/>
      </c>
      <c r="KR8" s="45">
        <f>$IY8+$JD8+$JI8+$JN8+$JS8+$JX8+$KC8+$KH8+$KM8</f>
        <v/>
      </c>
      <c r="KS8" s="45">
        <f>$IZ8+$JE8+$JJ8+$JO8+$JT8+$JY8+$KD8+$KI8+$KN8</f>
        <v/>
      </c>
      <c r="KT8" s="45">
        <f>$IL8-$IQ8+$KJ8</f>
        <v/>
      </c>
      <c r="KU8" s="45">
        <f>$IM8-$IR8+$KK8</f>
        <v/>
      </c>
      <c r="KV8" s="45">
        <f>$IN8-$IS8+$KL8</f>
        <v/>
      </c>
      <c r="KW8" s="45">
        <f>$IO8-$IT8+$KM8</f>
        <v/>
      </c>
      <c r="KX8" s="45">
        <f>$IP8-$IU8+$KN8</f>
        <v/>
      </c>
      <c r="KY8" s="45">
        <f>$JA8+$JF8+$JK8+$JP8+$JU8+$JZ8+$KE8</f>
        <v/>
      </c>
      <c r="KZ8" s="45">
        <f>$JB8+$JG8+$JL8+$JQ8+$JV8+$KA8+$KF8</f>
        <v/>
      </c>
      <c r="LA8" s="45">
        <f>$JC8+$JH8+$JM8+$JR8+$JW8+$KB8+$KG8</f>
        <v/>
      </c>
      <c r="LB8" s="45">
        <f>$JD8+$JI8+$JN8+$JS8+$JX8+$KC8+$KH8</f>
        <v/>
      </c>
      <c r="LC8" s="45">
        <f>$JE8+$JJ8+$JO8+$JT8+$JY8+$KD8+$KI8</f>
        <v/>
      </c>
      <c r="LD8" s="45">
        <f>((1&lt;=$AX8)*(1&gt;$AX8-$AY8))*$IG8*$V8*MAX(0,1-(1-$X8)*($AX8-1+1)/$AY8)+((2&lt;=$AX8)*(2&gt;$AX8-$AY8))*$IH8*$V8*MAX(0,1-(1-$X8)*($AX8-2+1)/$AY8)+((3&lt;=$AX8)*(3&gt;$AX8-$AY8))*$II8*$V8*MAX(0,1-(1-$X8)*($AX8-3+1)/$AY8)+((4&lt;=$AX8)*(4&gt;$AX8-$AY8))*$IJ8*$V8*MAX(0,1-(1-$X8)*($AX8-4+1)/$AY8)+((5&lt;=$AX8)*(5&gt;$AX8-$AY8))*$IK8*$V8*MAX(0,1-(1-$X8)*($AX8-5+1)/$AY8)</f>
        <v/>
      </c>
      <c r="LE8" s="45">
        <f>SUMPRODUCT($AZ8:$BD8,$KO8:$KS8)</f>
        <v/>
      </c>
      <c r="LF8" s="45">
        <f>SUM($KO8:$KQ8)</f>
        <v/>
      </c>
      <c r="LG8" s="45">
        <f>SUM($KO8:$KS8)</f>
        <v/>
      </c>
      <c r="LH8" s="45">
        <f>SUMPRODUCT($AZ8:$BD8,$KT8:$KX8,$BJ8:$BN8)+SUMPRODUCT($AZ8:$BD8,$KY8:$LC8,$BO8:$BS8)-$LD8/(1+$AM8)^$AX8</f>
        <v/>
      </c>
      <c r="LI8" s="43">
        <f>$BU8/1000000</f>
        <v/>
      </c>
      <c r="LJ8" s="44">
        <f>IF($LI8&gt;0,$DD8/$LI8,0)</f>
        <v/>
      </c>
      <c r="LK8" s="44">
        <f>IF($LI8&gt;0,$GP8/$LI8,0)</f>
        <v/>
      </c>
      <c r="LL8" s="44">
        <f>IF($LI8&gt;0,$KO8/$LI8,0)</f>
        <v/>
      </c>
      <c r="LM8" s="43">
        <f>$AP8*31536000/1000000</f>
        <v/>
      </c>
      <c r="LN8" s="43">
        <f>$EC8*$LM8</f>
        <v/>
      </c>
      <c r="LO8" s="45">
        <f>$FG8+$FL8+$FQ8+$FV8+$GA8+$GF8</f>
        <v/>
      </c>
      <c r="LP8" s="46">
        <f>IF($LN8*$CJ8&gt;0,MAX(0,($LO8-$CT8)/($LN8*$CJ8)),0)</f>
        <v/>
      </c>
      <c r="LQ8" s="46">
        <f>IF($LN8&gt;0,$LI8/$LN8,0)</f>
        <v/>
      </c>
      <c r="LR8" s="46">
        <f>1/($M8*$AI8)</f>
        <v/>
      </c>
      <c r="LS8" s="43">
        <f>$HR8*$LM8</f>
        <v/>
      </c>
      <c r="LT8" s="45">
        <f>$IV8+$JA8+$JF8+$JK8+$JP8+$JU8</f>
        <v/>
      </c>
      <c r="LU8" s="46">
        <f>IF($LS8*$CJ8&gt;0,$LT8/($LS8*$CJ8),0)</f>
        <v/>
      </c>
      <c r="LV8" s="46">
        <f>IF($LS8&gt;0,$LI8*$HJ8/$LS8,0)</f>
        <v/>
      </c>
      <c r="LW8" s="45">
        <f>$V8*(1-$X8)/$AY8+$Y8*$Z8*$AA8*8760+IF($AC8&gt;0,0,$Y8*$AB8*12)+$V8*$AD8</f>
        <v/>
      </c>
      <c r="LX8" s="46">
        <f>IF($LM8*$CJ8&gt;0,$LW8/($LM8*$CJ8),0)</f>
        <v/>
      </c>
      <c r="LY8" s="44">
        <f>IF($LM8*$LR8&gt;0,$LW8/($LM8*$LR8),0)</f>
        <v/>
      </c>
      <c r="LZ8" s="45">
        <f>$AE8+$AF8*$AG8+IF($AC8&gt;0,$AC8,0)-$CT8</f>
        <v/>
      </c>
      <c r="MA8" s="43">
        <f>IF($CJ8&gt;$LY8,MAX(0,$LZ8)/($CJ8-$LY8)*1000000,"Not reachable")</f>
        <v/>
      </c>
      <c r="MB8" s="47">
        <f>IF(AND(ISNUMBER($MA8),$BU8&gt;0),$MA8/$BU8,"n/a")</f>
        <v/>
      </c>
      <c r="MC8" s="47">
        <f>$B8*MAX(0,$D8-1)*$E8</f>
        <v/>
      </c>
      <c r="MD8" s="45">
        <f>$MC8*$C8</f>
        <v/>
      </c>
      <c r="ME8" s="45">
        <f>$MD8*SUMPRODUCT($AZ8:$BD8,$BO8:$BS8)</f>
        <v/>
      </c>
      <c r="MF8" s="45">
        <f>IF($AO8="Yes",$ME8-$DW8,0)</f>
        <v/>
      </c>
      <c r="MG8" s="45">
        <f>IF($AO8="Yes",$ME8-$HI8,0)</f>
        <v/>
      </c>
      <c r="MH8" s="45">
        <f>IF($AO8="Yes",$ME8-$LH8,0)</f>
        <v/>
      </c>
      <c r="MI8" s="45">
        <f>IF($AO8="Yes",$MD8-$DD8,0)</f>
        <v/>
      </c>
      <c r="MJ8" s="25">
        <f>IF(AND($DW8&lt;=$HI8,$DW8&lt;=$LH8),"Rent the Frontier",IF($HI8&lt;=$LH8,"Own the Frontier","Hybrid"))</f>
        <v/>
      </c>
      <c r="MK8" s="25">
        <f>IF(AND($DT8&lt;=$HF8,$DT8&lt;=$LE8),"Rent the Frontier",IF($HF8&lt;=$LE8,"Own the Frontier","Hybrid"))</f>
        <v/>
      </c>
    </row>
    <row r="9">
      <c r="A9" s="25">
        <f>Sensitivity!A12&amp;" ("&amp;Sensitivity!C12&amp;")"</f>
        <v/>
      </c>
      <c r="B9" s="25">
        <f>Inputs!$B$5</f>
        <v/>
      </c>
      <c r="C9" s="25">
        <f>Inputs!$B$6</f>
        <v/>
      </c>
      <c r="D9" s="25">
        <f>Inputs!$B$7</f>
        <v/>
      </c>
      <c r="E9" s="25">
        <f>Inputs!$B$8</f>
        <v/>
      </c>
      <c r="F9" s="25">
        <f>Inputs!$B$12</f>
        <v/>
      </c>
      <c r="G9" s="25">
        <f>Inputs!$B$13</f>
        <v/>
      </c>
      <c r="H9" s="25">
        <f>Inputs!$B$14</f>
        <v/>
      </c>
      <c r="I9" s="25">
        <f>Inputs!$B$18</f>
        <v/>
      </c>
      <c r="J9" s="25">
        <f>Inputs!$B$19</f>
        <v/>
      </c>
      <c r="K9" s="25">
        <f>Inputs!$B$20</f>
        <v/>
      </c>
      <c r="L9" s="25">
        <f>Inputs!$B$21</f>
        <v/>
      </c>
      <c r="M9" s="25">
        <f>Inputs!$B$22</f>
        <v/>
      </c>
      <c r="N9" s="25">
        <f>Inputs!$B$23</f>
        <v/>
      </c>
      <c r="O9" s="25">
        <f>Inputs!$B$26*Sensitivity!$D$12</f>
        <v/>
      </c>
      <c r="P9" s="25">
        <f>Inputs!$B$27</f>
        <v/>
      </c>
      <c r="Q9" s="25">
        <f>Inputs!$B$28</f>
        <v/>
      </c>
      <c r="R9" s="25">
        <f>Inputs!$B$29</f>
        <v/>
      </c>
      <c r="S9" s="25">
        <f>Inputs!$B$30</f>
        <v/>
      </c>
      <c r="T9" s="25">
        <f>Inputs!$B$31</f>
        <v/>
      </c>
      <c r="U9" s="25">
        <f>Inputs!$B$32</f>
        <v/>
      </c>
      <c r="V9" s="25">
        <f>Inputs!$B$35</f>
        <v/>
      </c>
      <c r="W9" s="25">
        <f>Inputs!$B$36</f>
        <v/>
      </c>
      <c r="X9" s="25">
        <f>Inputs!$B$37</f>
        <v/>
      </c>
      <c r="Y9" s="25">
        <f>Inputs!$B$38</f>
        <v/>
      </c>
      <c r="Z9" s="25">
        <f>Inputs!$B$39</f>
        <v/>
      </c>
      <c r="AA9" s="25">
        <f>Inputs!$B$40</f>
        <v/>
      </c>
      <c r="AB9" s="25">
        <f>Inputs!$B$41</f>
        <v/>
      </c>
      <c r="AC9" s="25">
        <f>Inputs!$B$42</f>
        <v/>
      </c>
      <c r="AD9" s="25">
        <f>Inputs!$B$43</f>
        <v/>
      </c>
      <c r="AE9" s="25">
        <f>Inputs!$B$44</f>
        <v/>
      </c>
      <c r="AF9" s="25">
        <f>Inputs!$B$45</f>
        <v/>
      </c>
      <c r="AG9" s="25">
        <f>Inputs!$B$46</f>
        <v/>
      </c>
      <c r="AH9" s="25">
        <f>Inputs!$B$47</f>
        <v/>
      </c>
      <c r="AI9" s="25">
        <f>Inputs!$B$48</f>
        <v/>
      </c>
      <c r="AJ9" s="25">
        <f>IF(ISNUMBER(Inputs!$B$51),Inputs!$B$51,"")</f>
        <v/>
      </c>
      <c r="AK9" s="25">
        <f>Inputs!$B$52</f>
        <v/>
      </c>
      <c r="AL9" s="25">
        <f>Inputs!$B$55</f>
        <v/>
      </c>
      <c r="AM9" s="25">
        <f>Inputs!$B$56</f>
        <v/>
      </c>
      <c r="AN9" s="25">
        <f>Inputs!$B$57</f>
        <v/>
      </c>
      <c r="AO9" s="25">
        <f>Inputs!$B$58</f>
        <v/>
      </c>
      <c r="AP9" s="25">
        <f>Inputs!$B$61</f>
        <v/>
      </c>
      <c r="AQ9" s="25">
        <f>Inputs!$B$62</f>
        <v/>
      </c>
      <c r="AR9" s="25">
        <f>1</f>
        <v/>
      </c>
      <c r="AS9" s="25" t="n">
        <v>1</v>
      </c>
      <c r="AT9" s="25" t="n">
        <v>2</v>
      </c>
      <c r="AU9" s="25" t="n">
        <v>3</v>
      </c>
      <c r="AV9" s="25" t="n">
        <v>4</v>
      </c>
      <c r="AW9" s="25" t="n">
        <v>5</v>
      </c>
      <c r="AX9" s="25">
        <f>MIN(5,MAX(1,ROUND($AL9,0)))</f>
        <v/>
      </c>
      <c r="AY9" s="25">
        <f>MAX(1,ROUND($W9,0))</f>
        <v/>
      </c>
      <c r="AZ9" s="25">
        <f>IF(1&lt;=$AX9,1,0)</f>
        <v/>
      </c>
      <c r="BA9" s="25">
        <f>IF(2&lt;=$AX9,1,0)</f>
        <v/>
      </c>
      <c r="BB9" s="25">
        <f>IF(3&lt;=$AX9,1,0)</f>
        <v/>
      </c>
      <c r="BC9" s="25">
        <f>IF(4&lt;=$AX9,1,0)</f>
        <v/>
      </c>
      <c r="BD9" s="25">
        <f>IF(5&lt;=$AX9,1,0)</f>
        <v/>
      </c>
      <c r="BE9" s="52">
        <f>(1+$AN9)^(1-1)</f>
        <v/>
      </c>
      <c r="BF9" s="52">
        <f>(1+$AN9)^(2-1)</f>
        <v/>
      </c>
      <c r="BG9" s="52">
        <f>(1+$AN9)^(3-1)</f>
        <v/>
      </c>
      <c r="BH9" s="52">
        <f>(1+$AN9)^(4-1)</f>
        <v/>
      </c>
      <c r="BI9" s="52">
        <f>(1+$AN9)^(5-1)</f>
        <v/>
      </c>
      <c r="BJ9" s="53">
        <f>1/(1+$AM9)^(1-1)</f>
        <v/>
      </c>
      <c r="BK9" s="53">
        <f>1/(1+$AM9)^(2-1)</f>
        <v/>
      </c>
      <c r="BL9" s="53">
        <f>1/(1+$AM9)^(3-1)</f>
        <v/>
      </c>
      <c r="BM9" s="53">
        <f>1/(1+$AM9)^(4-1)</f>
        <v/>
      </c>
      <c r="BN9" s="53">
        <f>1/(1+$AM9)^(5-1)</f>
        <v/>
      </c>
      <c r="BO9" s="53">
        <f>1/(1+$AM9)^1</f>
        <v/>
      </c>
      <c r="BP9" s="53">
        <f>1/(1+$AM9)^2</f>
        <v/>
      </c>
      <c r="BQ9" s="53">
        <f>1/(1+$AM9)^3</f>
        <v/>
      </c>
      <c r="BR9" s="53">
        <f>1/(1+$AM9)^4</f>
        <v/>
      </c>
      <c r="BS9" s="53">
        <f>1/(1+$AM9)^5</f>
        <v/>
      </c>
      <c r="BT9" s="43">
        <f>IF(AND($I9="Direct monthly estimate",$J9&gt;0),$J9,$D9*$K9*$L9)</f>
        <v/>
      </c>
      <c r="BU9" s="43">
        <f>$BT9*$B9*12*(1+$N9)^(1-1)</f>
        <v/>
      </c>
      <c r="BV9" s="43">
        <f>$BT9*$B9*12*(1+$N9)^(2-1)</f>
        <v/>
      </c>
      <c r="BW9" s="43">
        <f>$BT9*$B9*12*(1+$N9)^(3-1)</f>
        <v/>
      </c>
      <c r="BX9" s="43">
        <f>$BT9*$B9*12*(1+$N9)^(4-1)</f>
        <v/>
      </c>
      <c r="BY9" s="43">
        <f>$BT9*$B9*12*(1+$N9)^(5-1)</f>
        <v/>
      </c>
      <c r="BZ9" s="43">
        <f>$BU9/31536000*$M9</f>
        <v/>
      </c>
      <c r="CA9" s="43">
        <f>$BV9/31536000*$M9</f>
        <v/>
      </c>
      <c r="CB9" s="43">
        <f>$BW9/31536000*$M9</f>
        <v/>
      </c>
      <c r="CC9" s="43">
        <f>$BX9/31536000*$M9</f>
        <v/>
      </c>
      <c r="CD9" s="43">
        <f>$BY9/31536000*$M9</f>
        <v/>
      </c>
      <c r="CE9" s="43">
        <f>$BZ9*$AI9</f>
        <v/>
      </c>
      <c r="CF9" s="43">
        <f>$CA9*$AI9</f>
        <v/>
      </c>
      <c r="CG9" s="43">
        <f>$CB9*$AI9</f>
        <v/>
      </c>
      <c r="CH9" s="43">
        <f>$CC9*$AI9</f>
        <v/>
      </c>
      <c r="CI9" s="43">
        <f>$CD9*$AI9</f>
        <v/>
      </c>
      <c r="CJ9" s="44">
        <f>$O9*(1-$Q9)*(1-$P9)^(1-1)</f>
        <v/>
      </c>
      <c r="CK9" s="44">
        <f>$O9*(1-$Q9)*(1-$P9)^(2-1)</f>
        <v/>
      </c>
      <c r="CL9" s="44">
        <f>$O9*(1-$Q9)*(1-$P9)^(3-1)</f>
        <v/>
      </c>
      <c r="CM9" s="44">
        <f>$O9*(1-$Q9)*(1-$P9)^(4-1)</f>
        <v/>
      </c>
      <c r="CN9" s="44">
        <f>$O9*(1-$Q9)*(1-$P9)^(5-1)</f>
        <v/>
      </c>
      <c r="CO9" s="45">
        <f>$BU9/1000000*$CJ9</f>
        <v/>
      </c>
      <c r="CP9" s="45">
        <f>$BV9/1000000*$CK9</f>
        <v/>
      </c>
      <c r="CQ9" s="45">
        <f>$BW9/1000000*$CL9</f>
        <v/>
      </c>
      <c r="CR9" s="45">
        <f>$BX9/1000000*$CM9</f>
        <v/>
      </c>
      <c r="CS9" s="45">
        <f>$BY9/1000000*$CN9</f>
        <v/>
      </c>
      <c r="CT9" s="45">
        <f>($T9*$U9+$S9)*$BE9</f>
        <v/>
      </c>
      <c r="CU9" s="45">
        <f>($T9*$U9+$S9)*$BF9</f>
        <v/>
      </c>
      <c r="CV9" s="45">
        <f>($T9*$U9+$S9)*$BG9</f>
        <v/>
      </c>
      <c r="CW9" s="45">
        <f>($T9*$U9+$S9)*$BH9</f>
        <v/>
      </c>
      <c r="CX9" s="45">
        <f>($T9*$U9+$S9)*$BI9</f>
        <v/>
      </c>
      <c r="CY9" s="45">
        <f>IF(1=1,$R9,0)</f>
        <v/>
      </c>
      <c r="CZ9" s="45">
        <f>IF(2=1,$R9,0)</f>
        <v/>
      </c>
      <c r="DA9" s="45">
        <f>IF(3=1,$R9,0)</f>
        <v/>
      </c>
      <c r="DB9" s="45">
        <f>IF(4=1,$R9,0)</f>
        <v/>
      </c>
      <c r="DC9" s="45">
        <f>IF(5=1,$R9,0)</f>
        <v/>
      </c>
      <c r="DD9" s="45">
        <f>$CO9+$CT9+$CY9</f>
        <v/>
      </c>
      <c r="DE9" s="45">
        <f>$CP9+$CU9+$CZ9</f>
        <v/>
      </c>
      <c r="DF9" s="45">
        <f>$CQ9+$CV9+$DA9</f>
        <v/>
      </c>
      <c r="DG9" s="45">
        <f>$CR9+$CW9+$DB9</f>
        <v/>
      </c>
      <c r="DH9" s="45">
        <f>$CS9+$CX9+$DC9</f>
        <v/>
      </c>
      <c r="DI9" s="45">
        <f>$CY9</f>
        <v/>
      </c>
      <c r="DJ9" s="45">
        <f>$CZ9</f>
        <v/>
      </c>
      <c r="DK9" s="45">
        <f>$DA9</f>
        <v/>
      </c>
      <c r="DL9" s="45">
        <f>$DB9</f>
        <v/>
      </c>
      <c r="DM9" s="45">
        <f>$DC9</f>
        <v/>
      </c>
      <c r="DN9" s="45">
        <f>$CO9+$CT9</f>
        <v/>
      </c>
      <c r="DO9" s="45">
        <f>$CP9+$CU9</f>
        <v/>
      </c>
      <c r="DP9" s="45">
        <f>$CQ9+$CV9</f>
        <v/>
      </c>
      <c r="DQ9" s="45">
        <f>$CR9+$CW9</f>
        <v/>
      </c>
      <c r="DR9" s="45">
        <f>$CS9+$CX9</f>
        <v/>
      </c>
      <c r="DS9" s="45">
        <f>0</f>
        <v/>
      </c>
      <c r="DT9" s="45">
        <f>SUMPRODUCT($AZ9:$BD9,$DD9:$DH9)</f>
        <v/>
      </c>
      <c r="DU9" s="45">
        <f>SUM($DD9:$DF9)</f>
        <v/>
      </c>
      <c r="DV9" s="45">
        <f>SUM($DD9:$DH9)</f>
        <v/>
      </c>
      <c r="DW9" s="45">
        <f>SUMPRODUCT($AZ9:$BD9,$DI9:$DM9,$BJ9:$BN9)+SUMPRODUCT($AZ9:$BD9,$DN9:$DR9,$BO9:$BS9)-$DS9/(1+$AM9)^$AX9</f>
        <v/>
      </c>
      <c r="DX9" s="43">
        <f>IF($CE9&gt;0,ROUNDUP($CE9/$AP9,0),0)</f>
        <v/>
      </c>
      <c r="DY9" s="43">
        <f>IF($CF9&gt;0,ROUNDUP($CF9/$AP9,0),0)</f>
        <v/>
      </c>
      <c r="DZ9" s="43">
        <f>IF($CG9&gt;0,ROUNDUP($CG9/$AP9,0),0)</f>
        <v/>
      </c>
      <c r="EA9" s="43">
        <f>IF($CH9&gt;0,ROUNDUP($CH9/$AP9,0),0)</f>
        <v/>
      </c>
      <c r="EB9" s="43">
        <f>IF($CI9&gt;0,ROUNDUP($CI9/$AP9,0),0)</f>
        <v/>
      </c>
      <c r="EC9" s="43">
        <f>MAX($DX9,0)</f>
        <v/>
      </c>
      <c r="ED9" s="43">
        <f>MAX($DY9,$EC9)</f>
        <v/>
      </c>
      <c r="EE9" s="43">
        <f>MAX($DZ9,$ED9)</f>
        <v/>
      </c>
      <c r="EF9" s="43">
        <f>MAX($EA9,$EE9)</f>
        <v/>
      </c>
      <c r="EG9" s="43">
        <f>MAX($EB9,$EF9)</f>
        <v/>
      </c>
      <c r="EH9" s="43">
        <f>$EC9-0</f>
        <v/>
      </c>
      <c r="EI9" s="43">
        <f>$ED9-$EC9</f>
        <v/>
      </c>
      <c r="EJ9" s="43">
        <f>$EE9-$ED9</f>
        <v/>
      </c>
      <c r="EK9" s="43">
        <f>$EF9-$EE9</f>
        <v/>
      </c>
      <c r="EL9" s="43">
        <f>$EG9-$EF9</f>
        <v/>
      </c>
      <c r="EM9" s="43">
        <f>0</f>
        <v/>
      </c>
      <c r="EN9" s="43">
        <f>(1+$AY9=2)*$ER9</f>
        <v/>
      </c>
      <c r="EO9" s="43">
        <f>(1+$AY9=3)*$ER9+(2+$AY9=3)*$ES9</f>
        <v/>
      </c>
      <c r="EP9" s="43">
        <f>(1+$AY9=4)*$ER9+(2+$AY9=4)*$ES9+(3+$AY9=4)*$ET9</f>
        <v/>
      </c>
      <c r="EQ9" s="43">
        <f>(1+$AY9=5)*$ER9+(2+$AY9=5)*$ES9+(3+$AY9=5)*$ET9+(4+$AY9=5)*$EU9</f>
        <v/>
      </c>
      <c r="ER9" s="43">
        <f>$EH9+$EM9</f>
        <v/>
      </c>
      <c r="ES9" s="43">
        <f>$EI9+$EN9</f>
        <v/>
      </c>
      <c r="ET9" s="43">
        <f>$EJ9+$EO9</f>
        <v/>
      </c>
      <c r="EU9" s="43">
        <f>$EK9+$EP9</f>
        <v/>
      </c>
      <c r="EV9" s="43">
        <f>$EL9+$EQ9</f>
        <v/>
      </c>
      <c r="EW9" s="45">
        <f>$ER9*$V9</f>
        <v/>
      </c>
      <c r="EX9" s="45">
        <f>$ES9*$V9</f>
        <v/>
      </c>
      <c r="EY9" s="45">
        <f>$ET9*$V9</f>
        <v/>
      </c>
      <c r="EZ9" s="45">
        <f>$EU9*$V9</f>
        <v/>
      </c>
      <c r="FA9" s="45">
        <f>$EV9*$V9</f>
        <v/>
      </c>
      <c r="FB9" s="45">
        <f>$EM9*$V9*$X9</f>
        <v/>
      </c>
      <c r="FC9" s="45">
        <f>$EN9*$V9*$X9</f>
        <v/>
      </c>
      <c r="FD9" s="45">
        <f>$EO9*$V9*$X9</f>
        <v/>
      </c>
      <c r="FE9" s="45">
        <f>$EP9*$V9*$X9</f>
        <v/>
      </c>
      <c r="FF9" s="45">
        <f>$EQ9*$V9*$X9</f>
        <v/>
      </c>
      <c r="FG9" s="45">
        <f>$EC9*$V9*(1-$X9)/$AY9</f>
        <v/>
      </c>
      <c r="FH9" s="45">
        <f>$ED9*$V9*(1-$X9)/$AY9</f>
        <v/>
      </c>
      <c r="FI9" s="45">
        <f>$EE9*$V9*(1-$X9)/$AY9</f>
        <v/>
      </c>
      <c r="FJ9" s="45">
        <f>$EF9*$V9*(1-$X9)/$AY9</f>
        <v/>
      </c>
      <c r="FK9" s="45">
        <f>$EG9*$V9*(1-$X9)/$AY9</f>
        <v/>
      </c>
      <c r="FL9" s="45">
        <f>$EC9*$Y9*$Z9*$AA9*8760*$BE9</f>
        <v/>
      </c>
      <c r="FM9" s="45">
        <f>$ED9*$Y9*$Z9*$AA9*8760*$BF9</f>
        <v/>
      </c>
      <c r="FN9" s="45">
        <f>$EE9*$Y9*$Z9*$AA9*8760*$BG9</f>
        <v/>
      </c>
      <c r="FO9" s="45">
        <f>$EF9*$Y9*$Z9*$AA9*8760*$BH9</f>
        <v/>
      </c>
      <c r="FP9" s="45">
        <f>$EG9*$Y9*$Z9*$AA9*8760*$BI9</f>
        <v/>
      </c>
      <c r="FQ9" s="45">
        <f>IF($AC9&gt;0,$AC9,$EC9*$Y9*$AB9*12)*$BE9</f>
        <v/>
      </c>
      <c r="FR9" s="45">
        <f>IF($AC9&gt;0,$AC9,$ED9*$Y9*$AB9*12)*$BF9</f>
        <v/>
      </c>
      <c r="FS9" s="45">
        <f>IF($AC9&gt;0,$AC9,$EE9*$Y9*$AB9*12)*$BG9</f>
        <v/>
      </c>
      <c r="FT9" s="45">
        <f>IF($AC9&gt;0,$AC9,$EF9*$Y9*$AB9*12)*$BH9</f>
        <v/>
      </c>
      <c r="FU9" s="45">
        <f>IF($AC9&gt;0,$AC9,$EG9*$Y9*$AB9*12)*$BI9</f>
        <v/>
      </c>
      <c r="FV9" s="45">
        <f>$EC9*$V9*$AD9*$BE9</f>
        <v/>
      </c>
      <c r="FW9" s="45">
        <f>$ED9*$V9*$AD9*$BF9</f>
        <v/>
      </c>
      <c r="FX9" s="45">
        <f>$EE9*$V9*$AD9*$BG9</f>
        <v/>
      </c>
      <c r="FY9" s="45">
        <f>$EF9*$V9*$AD9*$BH9</f>
        <v/>
      </c>
      <c r="FZ9" s="45">
        <f>$EG9*$V9*$AD9*$BI9</f>
        <v/>
      </c>
      <c r="GA9" s="45">
        <f>$AE9*$BE9</f>
        <v/>
      </c>
      <c r="GB9" s="45">
        <f>$AE9*$BF9</f>
        <v/>
      </c>
      <c r="GC9" s="45">
        <f>$AE9*$BG9</f>
        <v/>
      </c>
      <c r="GD9" s="45">
        <f>$AE9*$BH9</f>
        <v/>
      </c>
      <c r="GE9" s="45">
        <f>$AE9*$BI9</f>
        <v/>
      </c>
      <c r="GF9" s="45">
        <f>$AF9*$AG9*$BE9</f>
        <v/>
      </c>
      <c r="GG9" s="45">
        <f>$AF9*$AG9*$BF9</f>
        <v/>
      </c>
      <c r="GH9" s="45">
        <f>$AF9*$AG9*$BG9</f>
        <v/>
      </c>
      <c r="GI9" s="45">
        <f>$AF9*$AG9*$BH9</f>
        <v/>
      </c>
      <c r="GJ9" s="45">
        <f>$AF9*$AG9*$BI9</f>
        <v/>
      </c>
      <c r="GK9" s="45">
        <f>IF(1=1,$AH9,0)</f>
        <v/>
      </c>
      <c r="GL9" s="45">
        <f>IF(2=1,$AH9,0)</f>
        <v/>
      </c>
      <c r="GM9" s="45">
        <f>IF(3=1,$AH9,0)</f>
        <v/>
      </c>
      <c r="GN9" s="45">
        <f>IF(4=1,$AH9,0)</f>
        <v/>
      </c>
      <c r="GO9" s="45">
        <f>IF(5=1,$AH9,0)</f>
        <v/>
      </c>
      <c r="GP9" s="45">
        <f>$FG9+$FL9+$FQ9+$FV9+$GA9+$GF9+$GK9</f>
        <v/>
      </c>
      <c r="GQ9" s="45">
        <f>$FH9+$FM9+$FR9+$FW9+$GB9+$GG9+$GL9</f>
        <v/>
      </c>
      <c r="GR9" s="45">
        <f>$FI9+$FN9+$FS9+$FX9+$GC9+$GH9+$GM9</f>
        <v/>
      </c>
      <c r="GS9" s="45">
        <f>$FJ9+$FO9+$FT9+$FY9+$GD9+$GI9+$GN9</f>
        <v/>
      </c>
      <c r="GT9" s="45">
        <f>$FK9+$FP9+$FU9+$FZ9+$GE9+$GJ9+$GO9</f>
        <v/>
      </c>
      <c r="GU9" s="45">
        <f>$EW9-$FB9+$GK9</f>
        <v/>
      </c>
      <c r="GV9" s="45">
        <f>$EX9-$FC9+$GL9</f>
        <v/>
      </c>
      <c r="GW9" s="45">
        <f>$EY9-$FD9+$GM9</f>
        <v/>
      </c>
      <c r="GX9" s="45">
        <f>$EZ9-$FE9+$GN9</f>
        <v/>
      </c>
      <c r="GY9" s="45">
        <f>$FA9-$FF9+$GO9</f>
        <v/>
      </c>
      <c r="GZ9" s="45">
        <f>$FL9+$FQ9+$FV9+$GA9+$GF9</f>
        <v/>
      </c>
      <c r="HA9" s="45">
        <f>$FM9+$FR9+$FW9+$GB9+$GG9</f>
        <v/>
      </c>
      <c r="HB9" s="45">
        <f>$FN9+$FS9+$FX9+$GC9+$GH9</f>
        <v/>
      </c>
      <c r="HC9" s="45">
        <f>$FO9+$FT9+$FY9+$GD9+$GI9</f>
        <v/>
      </c>
      <c r="HD9" s="45">
        <f>$FP9+$FU9+$FZ9+$GE9+$GJ9</f>
        <v/>
      </c>
      <c r="HE9" s="45">
        <f>((1&lt;=$AX9)*(1&gt;$AX9-$AY9))*$ER9*$V9*MAX(0,1-(1-$X9)*($AX9-1+1)/$AY9)+((2&lt;=$AX9)*(2&gt;$AX9-$AY9))*$ES9*$V9*MAX(0,1-(1-$X9)*($AX9-2+1)/$AY9)+((3&lt;=$AX9)*(3&gt;$AX9-$AY9))*$ET9*$V9*MAX(0,1-(1-$X9)*($AX9-3+1)/$AY9)+((4&lt;=$AX9)*(4&gt;$AX9-$AY9))*$EU9*$V9*MAX(0,1-(1-$X9)*($AX9-4+1)/$AY9)+((5&lt;=$AX9)*(5&gt;$AX9-$AY9))*$EV9*$V9*MAX(0,1-(1-$X9)*($AX9-5+1)/$AY9)</f>
        <v/>
      </c>
      <c r="HF9" s="45">
        <f>SUMPRODUCT($AZ9:$BD9,$GP9:$GT9)</f>
        <v/>
      </c>
      <c r="HG9" s="45">
        <f>SUM($GP9:$GR9)</f>
        <v/>
      </c>
      <c r="HH9" s="45">
        <f>SUM($GP9:$GT9)</f>
        <v/>
      </c>
      <c r="HI9" s="45">
        <f>SUMPRODUCT($AZ9:$BD9,$GU9:$GY9,$BJ9:$BN9)+SUMPRODUCT($AZ9:$BD9,$GZ9:$HD9,$BO9:$BS9)-$HE9/(1+$AM9)^$AX9</f>
        <v/>
      </c>
      <c r="HJ9" s="46">
        <f>MIN(1,MAX(0,IF(ISNUMBER($AJ9),$AJ9,IF($F9+$G9+$H9&gt;0,($G9+$H9)/($F9+$G9+$H9),0))*$AR9))</f>
        <v/>
      </c>
      <c r="HK9" s="25">
        <f>IF($HJ9&gt;0,1,0)</f>
        <v/>
      </c>
      <c r="HL9" s="25">
        <f>IF($HJ9&lt;1,1,0)</f>
        <v/>
      </c>
      <c r="HM9" s="43">
        <f>IF($CE9*$HJ9&gt;0,ROUNDUP($CE9*$HJ9/$AP9,0),0)</f>
        <v/>
      </c>
      <c r="HN9" s="43">
        <f>IF($CF9*$HJ9&gt;0,ROUNDUP($CF9*$HJ9/$AP9,0),0)</f>
        <v/>
      </c>
      <c r="HO9" s="43">
        <f>IF($CG9*$HJ9&gt;0,ROUNDUP($CG9*$HJ9/$AP9,0),0)</f>
        <v/>
      </c>
      <c r="HP9" s="43">
        <f>IF($CH9*$HJ9&gt;0,ROUNDUP($CH9*$HJ9/$AP9,0),0)</f>
        <v/>
      </c>
      <c r="HQ9" s="43">
        <f>IF($CI9*$HJ9&gt;0,ROUNDUP($CI9*$HJ9/$AP9,0),0)</f>
        <v/>
      </c>
      <c r="HR9" s="43">
        <f>MAX($HM9,0)</f>
        <v/>
      </c>
      <c r="HS9" s="43">
        <f>MAX($HN9,$HR9)</f>
        <v/>
      </c>
      <c r="HT9" s="43">
        <f>MAX($HO9,$HS9)</f>
        <v/>
      </c>
      <c r="HU9" s="43">
        <f>MAX($HP9,$HT9)</f>
        <v/>
      </c>
      <c r="HV9" s="43">
        <f>MAX($HQ9,$HU9)</f>
        <v/>
      </c>
      <c r="HW9" s="43">
        <f>$HR9-0</f>
        <v/>
      </c>
      <c r="HX9" s="43">
        <f>$HS9-$HR9</f>
        <v/>
      </c>
      <c r="HY9" s="43">
        <f>$HT9-$HS9</f>
        <v/>
      </c>
      <c r="HZ9" s="43">
        <f>$HU9-$HT9</f>
        <v/>
      </c>
      <c r="IA9" s="43">
        <f>$HV9-$HU9</f>
        <v/>
      </c>
      <c r="IB9" s="43">
        <f>0</f>
        <v/>
      </c>
      <c r="IC9" s="43">
        <f>(1+$AY9=2)*$IG9</f>
        <v/>
      </c>
      <c r="ID9" s="43">
        <f>(1+$AY9=3)*$IG9+(2+$AY9=3)*$IH9</f>
        <v/>
      </c>
      <c r="IE9" s="43">
        <f>(1+$AY9=4)*$IG9+(2+$AY9=4)*$IH9+(3+$AY9=4)*$II9</f>
        <v/>
      </c>
      <c r="IF9" s="43">
        <f>(1+$AY9=5)*$IG9+(2+$AY9=5)*$IH9+(3+$AY9=5)*$II9+(4+$AY9=5)*$IJ9</f>
        <v/>
      </c>
      <c r="IG9" s="43">
        <f>$HW9+$IB9</f>
        <v/>
      </c>
      <c r="IH9" s="43">
        <f>$HX9+$IC9</f>
        <v/>
      </c>
      <c r="II9" s="43">
        <f>$HY9+$ID9</f>
        <v/>
      </c>
      <c r="IJ9" s="43">
        <f>$HZ9+$IE9</f>
        <v/>
      </c>
      <c r="IK9" s="43">
        <f>$IA9+$IF9</f>
        <v/>
      </c>
      <c r="IL9" s="45">
        <f>$IG9*$V9</f>
        <v/>
      </c>
      <c r="IM9" s="45">
        <f>$IH9*$V9</f>
        <v/>
      </c>
      <c r="IN9" s="45">
        <f>$II9*$V9</f>
        <v/>
      </c>
      <c r="IO9" s="45">
        <f>$IJ9*$V9</f>
        <v/>
      </c>
      <c r="IP9" s="45">
        <f>$IK9*$V9</f>
        <v/>
      </c>
      <c r="IQ9" s="45">
        <f>$IB9*$V9*$X9</f>
        <v/>
      </c>
      <c r="IR9" s="45">
        <f>$IC9*$V9*$X9</f>
        <v/>
      </c>
      <c r="IS9" s="45">
        <f>$ID9*$V9*$X9</f>
        <v/>
      </c>
      <c r="IT9" s="45">
        <f>$IE9*$V9*$X9</f>
        <v/>
      </c>
      <c r="IU9" s="45">
        <f>$IF9*$V9*$X9</f>
        <v/>
      </c>
      <c r="IV9" s="45">
        <f>$HR9*$V9*(1-$X9)/$AY9</f>
        <v/>
      </c>
      <c r="IW9" s="45">
        <f>$HS9*$V9*(1-$X9)/$AY9</f>
        <v/>
      </c>
      <c r="IX9" s="45">
        <f>$HT9*$V9*(1-$X9)/$AY9</f>
        <v/>
      </c>
      <c r="IY9" s="45">
        <f>$HU9*$V9*(1-$X9)/$AY9</f>
        <v/>
      </c>
      <c r="IZ9" s="45">
        <f>$HV9*$V9*(1-$X9)/$AY9</f>
        <v/>
      </c>
      <c r="JA9" s="45">
        <f>$HR9*$Y9*$Z9*$AA9*8760*$BE9</f>
        <v/>
      </c>
      <c r="JB9" s="45">
        <f>$HS9*$Y9*$Z9*$AA9*8760*$BF9</f>
        <v/>
      </c>
      <c r="JC9" s="45">
        <f>$HT9*$Y9*$Z9*$AA9*8760*$BG9</f>
        <v/>
      </c>
      <c r="JD9" s="45">
        <f>$HU9*$Y9*$Z9*$AA9*8760*$BH9</f>
        <v/>
      </c>
      <c r="JE9" s="45">
        <f>$HV9*$Y9*$Z9*$AA9*8760*$BI9</f>
        <v/>
      </c>
      <c r="JF9" s="45">
        <f>IF($AC9&gt;0,$AC9*$HK9,$HR9*$Y9*$AB9*12)*$BE9</f>
        <v/>
      </c>
      <c r="JG9" s="45">
        <f>IF($AC9&gt;0,$AC9*$HK9,$HS9*$Y9*$AB9*12)*$BF9</f>
        <v/>
      </c>
      <c r="JH9" s="45">
        <f>IF($AC9&gt;0,$AC9*$HK9,$HT9*$Y9*$AB9*12)*$BG9</f>
        <v/>
      </c>
      <c r="JI9" s="45">
        <f>IF($AC9&gt;0,$AC9*$HK9,$HU9*$Y9*$AB9*12)*$BH9</f>
        <v/>
      </c>
      <c r="JJ9" s="45">
        <f>IF($AC9&gt;0,$AC9*$HK9,$HV9*$Y9*$AB9*12)*$BI9</f>
        <v/>
      </c>
      <c r="JK9" s="45">
        <f>$HR9*$V9*$AD9*$BE9</f>
        <v/>
      </c>
      <c r="JL9" s="45">
        <f>$HS9*$V9*$AD9*$BF9</f>
        <v/>
      </c>
      <c r="JM9" s="45">
        <f>$HT9*$V9*$AD9*$BG9</f>
        <v/>
      </c>
      <c r="JN9" s="45">
        <f>$HU9*$V9*$AD9*$BH9</f>
        <v/>
      </c>
      <c r="JO9" s="45">
        <f>$HV9*$V9*$AD9*$BI9</f>
        <v/>
      </c>
      <c r="JP9" s="45">
        <f>$AE9*$BE9*$HK9</f>
        <v/>
      </c>
      <c r="JQ9" s="45">
        <f>$AE9*$BF9*$HK9</f>
        <v/>
      </c>
      <c r="JR9" s="45">
        <f>$AE9*$BG9*$HK9</f>
        <v/>
      </c>
      <c r="JS9" s="45">
        <f>$AE9*$BH9*$HK9</f>
        <v/>
      </c>
      <c r="JT9" s="45">
        <f>$AE9*$BI9*$HK9</f>
        <v/>
      </c>
      <c r="JU9" s="45">
        <f>$AQ9*$AG9*$BE9*$HK9</f>
        <v/>
      </c>
      <c r="JV9" s="45">
        <f>$AQ9*$AG9*$BF9*$HK9</f>
        <v/>
      </c>
      <c r="JW9" s="45">
        <f>$AQ9*$AG9*$BG9*$HK9</f>
        <v/>
      </c>
      <c r="JX9" s="45">
        <f>$AQ9*$AG9*$BH9*$HK9</f>
        <v/>
      </c>
      <c r="JY9" s="45">
        <f>$AQ9*$AG9*$BI9*$HK9</f>
        <v/>
      </c>
      <c r="JZ9" s="45">
        <f>$BU9*(1-$HJ9)/1000000*$CJ9</f>
        <v/>
      </c>
      <c r="KA9" s="45">
        <f>$BV9*(1-$HJ9)/1000000*$CK9</f>
        <v/>
      </c>
      <c r="KB9" s="45">
        <f>$BW9*(1-$HJ9)/1000000*$CL9</f>
        <v/>
      </c>
      <c r="KC9" s="45">
        <f>$BX9*(1-$HJ9)/1000000*$CM9</f>
        <v/>
      </c>
      <c r="KD9" s="45">
        <f>$BY9*(1-$HJ9)/1000000*$CN9</f>
        <v/>
      </c>
      <c r="KE9" s="45">
        <f>$CT9*$HL9</f>
        <v/>
      </c>
      <c r="KF9" s="45">
        <f>$CU9*$HL9</f>
        <v/>
      </c>
      <c r="KG9" s="45">
        <f>$CV9*$HL9</f>
        <v/>
      </c>
      <c r="KH9" s="45">
        <f>$CW9*$HL9</f>
        <v/>
      </c>
      <c r="KI9" s="45">
        <f>$CX9*$HL9</f>
        <v/>
      </c>
      <c r="KJ9" s="45">
        <f>IF(1=1,$R9*$HL9+$AH9*$HK9+$AK9,0)</f>
        <v/>
      </c>
      <c r="KK9" s="45">
        <f>IF(2=1,$R9*$HL9+$AH9*$HK9+$AK9,0)</f>
        <v/>
      </c>
      <c r="KL9" s="45">
        <f>IF(3=1,$R9*$HL9+$AH9*$HK9+$AK9,0)</f>
        <v/>
      </c>
      <c r="KM9" s="45">
        <f>IF(4=1,$R9*$HL9+$AH9*$HK9+$AK9,0)</f>
        <v/>
      </c>
      <c r="KN9" s="45">
        <f>IF(5=1,$R9*$HL9+$AH9*$HK9+$AK9,0)</f>
        <v/>
      </c>
      <c r="KO9" s="45">
        <f>$IV9+$JA9+$JF9+$JK9+$JP9+$JU9+$JZ9+$KE9+$KJ9</f>
        <v/>
      </c>
      <c r="KP9" s="45">
        <f>$IW9+$JB9+$JG9+$JL9+$JQ9+$JV9+$KA9+$KF9+$KK9</f>
        <v/>
      </c>
      <c r="KQ9" s="45">
        <f>$IX9+$JC9+$JH9+$JM9+$JR9+$JW9+$KB9+$KG9+$KL9</f>
        <v/>
      </c>
      <c r="KR9" s="45">
        <f>$IY9+$JD9+$JI9+$JN9+$JS9+$JX9+$KC9+$KH9+$KM9</f>
        <v/>
      </c>
      <c r="KS9" s="45">
        <f>$IZ9+$JE9+$JJ9+$JO9+$JT9+$JY9+$KD9+$KI9+$KN9</f>
        <v/>
      </c>
      <c r="KT9" s="45">
        <f>$IL9-$IQ9+$KJ9</f>
        <v/>
      </c>
      <c r="KU9" s="45">
        <f>$IM9-$IR9+$KK9</f>
        <v/>
      </c>
      <c r="KV9" s="45">
        <f>$IN9-$IS9+$KL9</f>
        <v/>
      </c>
      <c r="KW9" s="45">
        <f>$IO9-$IT9+$KM9</f>
        <v/>
      </c>
      <c r="KX9" s="45">
        <f>$IP9-$IU9+$KN9</f>
        <v/>
      </c>
      <c r="KY9" s="45">
        <f>$JA9+$JF9+$JK9+$JP9+$JU9+$JZ9+$KE9</f>
        <v/>
      </c>
      <c r="KZ9" s="45">
        <f>$JB9+$JG9+$JL9+$JQ9+$JV9+$KA9+$KF9</f>
        <v/>
      </c>
      <c r="LA9" s="45">
        <f>$JC9+$JH9+$JM9+$JR9+$JW9+$KB9+$KG9</f>
        <v/>
      </c>
      <c r="LB9" s="45">
        <f>$JD9+$JI9+$JN9+$JS9+$JX9+$KC9+$KH9</f>
        <v/>
      </c>
      <c r="LC9" s="45">
        <f>$JE9+$JJ9+$JO9+$JT9+$JY9+$KD9+$KI9</f>
        <v/>
      </c>
      <c r="LD9" s="45">
        <f>((1&lt;=$AX9)*(1&gt;$AX9-$AY9))*$IG9*$V9*MAX(0,1-(1-$X9)*($AX9-1+1)/$AY9)+((2&lt;=$AX9)*(2&gt;$AX9-$AY9))*$IH9*$V9*MAX(0,1-(1-$X9)*($AX9-2+1)/$AY9)+((3&lt;=$AX9)*(3&gt;$AX9-$AY9))*$II9*$V9*MAX(0,1-(1-$X9)*($AX9-3+1)/$AY9)+((4&lt;=$AX9)*(4&gt;$AX9-$AY9))*$IJ9*$V9*MAX(0,1-(1-$X9)*($AX9-4+1)/$AY9)+((5&lt;=$AX9)*(5&gt;$AX9-$AY9))*$IK9*$V9*MAX(0,1-(1-$X9)*($AX9-5+1)/$AY9)</f>
        <v/>
      </c>
      <c r="LE9" s="45">
        <f>SUMPRODUCT($AZ9:$BD9,$KO9:$KS9)</f>
        <v/>
      </c>
      <c r="LF9" s="45">
        <f>SUM($KO9:$KQ9)</f>
        <v/>
      </c>
      <c r="LG9" s="45">
        <f>SUM($KO9:$KS9)</f>
        <v/>
      </c>
      <c r="LH9" s="45">
        <f>SUMPRODUCT($AZ9:$BD9,$KT9:$KX9,$BJ9:$BN9)+SUMPRODUCT($AZ9:$BD9,$KY9:$LC9,$BO9:$BS9)-$LD9/(1+$AM9)^$AX9</f>
        <v/>
      </c>
      <c r="LI9" s="43">
        <f>$BU9/1000000</f>
        <v/>
      </c>
      <c r="LJ9" s="44">
        <f>IF($LI9&gt;0,$DD9/$LI9,0)</f>
        <v/>
      </c>
      <c r="LK9" s="44">
        <f>IF($LI9&gt;0,$GP9/$LI9,0)</f>
        <v/>
      </c>
      <c r="LL9" s="44">
        <f>IF($LI9&gt;0,$KO9/$LI9,0)</f>
        <v/>
      </c>
      <c r="LM9" s="43">
        <f>$AP9*31536000/1000000</f>
        <v/>
      </c>
      <c r="LN9" s="43">
        <f>$EC9*$LM9</f>
        <v/>
      </c>
      <c r="LO9" s="45">
        <f>$FG9+$FL9+$FQ9+$FV9+$GA9+$GF9</f>
        <v/>
      </c>
      <c r="LP9" s="46">
        <f>IF($LN9*$CJ9&gt;0,MAX(0,($LO9-$CT9)/($LN9*$CJ9)),0)</f>
        <v/>
      </c>
      <c r="LQ9" s="46">
        <f>IF($LN9&gt;0,$LI9/$LN9,0)</f>
        <v/>
      </c>
      <c r="LR9" s="46">
        <f>1/($M9*$AI9)</f>
        <v/>
      </c>
      <c r="LS9" s="43">
        <f>$HR9*$LM9</f>
        <v/>
      </c>
      <c r="LT9" s="45">
        <f>$IV9+$JA9+$JF9+$JK9+$JP9+$JU9</f>
        <v/>
      </c>
      <c r="LU9" s="46">
        <f>IF($LS9*$CJ9&gt;0,$LT9/($LS9*$CJ9),0)</f>
        <v/>
      </c>
      <c r="LV9" s="46">
        <f>IF($LS9&gt;0,$LI9*$HJ9/$LS9,0)</f>
        <v/>
      </c>
      <c r="LW9" s="45">
        <f>$V9*(1-$X9)/$AY9+$Y9*$Z9*$AA9*8760+IF($AC9&gt;0,0,$Y9*$AB9*12)+$V9*$AD9</f>
        <v/>
      </c>
      <c r="LX9" s="46">
        <f>IF($LM9*$CJ9&gt;0,$LW9/($LM9*$CJ9),0)</f>
        <v/>
      </c>
      <c r="LY9" s="44">
        <f>IF($LM9*$LR9&gt;0,$LW9/($LM9*$LR9),0)</f>
        <v/>
      </c>
      <c r="LZ9" s="45">
        <f>$AE9+$AF9*$AG9+IF($AC9&gt;0,$AC9,0)-$CT9</f>
        <v/>
      </c>
      <c r="MA9" s="43">
        <f>IF($CJ9&gt;$LY9,MAX(0,$LZ9)/($CJ9-$LY9)*1000000,"Not reachable")</f>
        <v/>
      </c>
      <c r="MB9" s="47">
        <f>IF(AND(ISNUMBER($MA9),$BU9&gt;0),$MA9/$BU9,"n/a")</f>
        <v/>
      </c>
      <c r="MC9" s="47">
        <f>$B9*MAX(0,$D9-1)*$E9</f>
        <v/>
      </c>
      <c r="MD9" s="45">
        <f>$MC9*$C9</f>
        <v/>
      </c>
      <c r="ME9" s="45">
        <f>$MD9*SUMPRODUCT($AZ9:$BD9,$BO9:$BS9)</f>
        <v/>
      </c>
      <c r="MF9" s="45">
        <f>IF($AO9="Yes",$ME9-$DW9,0)</f>
        <v/>
      </c>
      <c r="MG9" s="45">
        <f>IF($AO9="Yes",$ME9-$HI9,0)</f>
        <v/>
      </c>
      <c r="MH9" s="45">
        <f>IF($AO9="Yes",$ME9-$LH9,0)</f>
        <v/>
      </c>
      <c r="MI9" s="45">
        <f>IF($AO9="Yes",$MD9-$DD9,0)</f>
        <v/>
      </c>
      <c r="MJ9" s="25">
        <f>IF(AND($DW9&lt;=$HI9,$DW9&lt;=$LH9),"Rent the Frontier",IF($HI9&lt;=$LH9,"Own the Frontier","Hybrid"))</f>
        <v/>
      </c>
      <c r="MK9" s="25">
        <f>IF(AND($DT9&lt;=$HF9,$DT9&lt;=$LE9),"Rent the Frontier",IF($HF9&lt;=$LE9,"Own the Frontier","Hybrid"))</f>
        <v/>
      </c>
    </row>
    <row r="10">
      <c r="A10" s="25">
        <f>Sensitivity!A13&amp;" ("&amp;Sensitivity!C13&amp;")"</f>
        <v/>
      </c>
      <c r="B10" s="25">
        <f>Inputs!$B$5</f>
        <v/>
      </c>
      <c r="C10" s="25">
        <f>Inputs!$B$6</f>
        <v/>
      </c>
      <c r="D10" s="25">
        <f>Inputs!$B$7</f>
        <v/>
      </c>
      <c r="E10" s="25">
        <f>Inputs!$B$8</f>
        <v/>
      </c>
      <c r="F10" s="25">
        <f>Inputs!$B$12</f>
        <v/>
      </c>
      <c r="G10" s="25">
        <f>Inputs!$B$13</f>
        <v/>
      </c>
      <c r="H10" s="25">
        <f>Inputs!$B$14</f>
        <v/>
      </c>
      <c r="I10" s="25">
        <f>Inputs!$B$18</f>
        <v/>
      </c>
      <c r="J10" s="25">
        <f>Inputs!$B$19</f>
        <v/>
      </c>
      <c r="K10" s="25">
        <f>Inputs!$B$20</f>
        <v/>
      </c>
      <c r="L10" s="25">
        <f>Inputs!$B$21</f>
        <v/>
      </c>
      <c r="M10" s="25">
        <f>Inputs!$B$22</f>
        <v/>
      </c>
      <c r="N10" s="25">
        <f>Inputs!$B$23</f>
        <v/>
      </c>
      <c r="O10" s="25">
        <f>Inputs!$B$26*Sensitivity!$D$13</f>
        <v/>
      </c>
      <c r="P10" s="25">
        <f>Inputs!$B$27</f>
        <v/>
      </c>
      <c r="Q10" s="25">
        <f>Inputs!$B$28</f>
        <v/>
      </c>
      <c r="R10" s="25">
        <f>Inputs!$B$29</f>
        <v/>
      </c>
      <c r="S10" s="25">
        <f>Inputs!$B$30</f>
        <v/>
      </c>
      <c r="T10" s="25">
        <f>Inputs!$B$31</f>
        <v/>
      </c>
      <c r="U10" s="25">
        <f>Inputs!$B$32</f>
        <v/>
      </c>
      <c r="V10" s="25">
        <f>Inputs!$B$35</f>
        <v/>
      </c>
      <c r="W10" s="25">
        <f>Inputs!$B$36</f>
        <v/>
      </c>
      <c r="X10" s="25">
        <f>Inputs!$B$37</f>
        <v/>
      </c>
      <c r="Y10" s="25">
        <f>Inputs!$B$38</f>
        <v/>
      </c>
      <c r="Z10" s="25">
        <f>Inputs!$B$39</f>
        <v/>
      </c>
      <c r="AA10" s="25">
        <f>Inputs!$B$40</f>
        <v/>
      </c>
      <c r="AB10" s="25">
        <f>Inputs!$B$41</f>
        <v/>
      </c>
      <c r="AC10" s="25">
        <f>Inputs!$B$42</f>
        <v/>
      </c>
      <c r="AD10" s="25">
        <f>Inputs!$B$43</f>
        <v/>
      </c>
      <c r="AE10" s="25">
        <f>Inputs!$B$44</f>
        <v/>
      </c>
      <c r="AF10" s="25">
        <f>Inputs!$B$45</f>
        <v/>
      </c>
      <c r="AG10" s="25">
        <f>Inputs!$B$46</f>
        <v/>
      </c>
      <c r="AH10" s="25">
        <f>Inputs!$B$47</f>
        <v/>
      </c>
      <c r="AI10" s="25">
        <f>Inputs!$B$48</f>
        <v/>
      </c>
      <c r="AJ10" s="25">
        <f>IF(ISNUMBER(Inputs!$B$51),Inputs!$B$51,"")</f>
        <v/>
      </c>
      <c r="AK10" s="25">
        <f>Inputs!$B$52</f>
        <v/>
      </c>
      <c r="AL10" s="25">
        <f>Inputs!$B$55</f>
        <v/>
      </c>
      <c r="AM10" s="25">
        <f>Inputs!$B$56</f>
        <v/>
      </c>
      <c r="AN10" s="25">
        <f>Inputs!$B$57</f>
        <v/>
      </c>
      <c r="AO10" s="25">
        <f>Inputs!$B$58</f>
        <v/>
      </c>
      <c r="AP10" s="25">
        <f>Inputs!$B$61</f>
        <v/>
      </c>
      <c r="AQ10" s="25">
        <f>Inputs!$B$62</f>
        <v/>
      </c>
      <c r="AR10" s="25">
        <f>1</f>
        <v/>
      </c>
      <c r="AS10" s="25" t="n">
        <v>1</v>
      </c>
      <c r="AT10" s="25" t="n">
        <v>2</v>
      </c>
      <c r="AU10" s="25" t="n">
        <v>3</v>
      </c>
      <c r="AV10" s="25" t="n">
        <v>4</v>
      </c>
      <c r="AW10" s="25" t="n">
        <v>5</v>
      </c>
      <c r="AX10" s="25">
        <f>MIN(5,MAX(1,ROUND($AL10,0)))</f>
        <v/>
      </c>
      <c r="AY10" s="25">
        <f>MAX(1,ROUND($W10,0))</f>
        <v/>
      </c>
      <c r="AZ10" s="25">
        <f>IF(1&lt;=$AX10,1,0)</f>
        <v/>
      </c>
      <c r="BA10" s="25">
        <f>IF(2&lt;=$AX10,1,0)</f>
        <v/>
      </c>
      <c r="BB10" s="25">
        <f>IF(3&lt;=$AX10,1,0)</f>
        <v/>
      </c>
      <c r="BC10" s="25">
        <f>IF(4&lt;=$AX10,1,0)</f>
        <v/>
      </c>
      <c r="BD10" s="25">
        <f>IF(5&lt;=$AX10,1,0)</f>
        <v/>
      </c>
      <c r="BE10" s="52">
        <f>(1+$AN10)^(1-1)</f>
        <v/>
      </c>
      <c r="BF10" s="52">
        <f>(1+$AN10)^(2-1)</f>
        <v/>
      </c>
      <c r="BG10" s="52">
        <f>(1+$AN10)^(3-1)</f>
        <v/>
      </c>
      <c r="BH10" s="52">
        <f>(1+$AN10)^(4-1)</f>
        <v/>
      </c>
      <c r="BI10" s="52">
        <f>(1+$AN10)^(5-1)</f>
        <v/>
      </c>
      <c r="BJ10" s="53">
        <f>1/(1+$AM10)^(1-1)</f>
        <v/>
      </c>
      <c r="BK10" s="53">
        <f>1/(1+$AM10)^(2-1)</f>
        <v/>
      </c>
      <c r="BL10" s="53">
        <f>1/(1+$AM10)^(3-1)</f>
        <v/>
      </c>
      <c r="BM10" s="53">
        <f>1/(1+$AM10)^(4-1)</f>
        <v/>
      </c>
      <c r="BN10" s="53">
        <f>1/(1+$AM10)^(5-1)</f>
        <v/>
      </c>
      <c r="BO10" s="53">
        <f>1/(1+$AM10)^1</f>
        <v/>
      </c>
      <c r="BP10" s="53">
        <f>1/(1+$AM10)^2</f>
        <v/>
      </c>
      <c r="BQ10" s="53">
        <f>1/(1+$AM10)^3</f>
        <v/>
      </c>
      <c r="BR10" s="53">
        <f>1/(1+$AM10)^4</f>
        <v/>
      </c>
      <c r="BS10" s="53">
        <f>1/(1+$AM10)^5</f>
        <v/>
      </c>
      <c r="BT10" s="43">
        <f>IF(AND($I10="Direct monthly estimate",$J10&gt;0),$J10,$D10*$K10*$L10)</f>
        <v/>
      </c>
      <c r="BU10" s="43">
        <f>$BT10*$B10*12*(1+$N10)^(1-1)</f>
        <v/>
      </c>
      <c r="BV10" s="43">
        <f>$BT10*$B10*12*(1+$N10)^(2-1)</f>
        <v/>
      </c>
      <c r="BW10" s="43">
        <f>$BT10*$B10*12*(1+$N10)^(3-1)</f>
        <v/>
      </c>
      <c r="BX10" s="43">
        <f>$BT10*$B10*12*(1+$N10)^(4-1)</f>
        <v/>
      </c>
      <c r="BY10" s="43">
        <f>$BT10*$B10*12*(1+$N10)^(5-1)</f>
        <v/>
      </c>
      <c r="BZ10" s="43">
        <f>$BU10/31536000*$M10</f>
        <v/>
      </c>
      <c r="CA10" s="43">
        <f>$BV10/31536000*$M10</f>
        <v/>
      </c>
      <c r="CB10" s="43">
        <f>$BW10/31536000*$M10</f>
        <v/>
      </c>
      <c r="CC10" s="43">
        <f>$BX10/31536000*$M10</f>
        <v/>
      </c>
      <c r="CD10" s="43">
        <f>$BY10/31536000*$M10</f>
        <v/>
      </c>
      <c r="CE10" s="43">
        <f>$BZ10*$AI10</f>
        <v/>
      </c>
      <c r="CF10" s="43">
        <f>$CA10*$AI10</f>
        <v/>
      </c>
      <c r="CG10" s="43">
        <f>$CB10*$AI10</f>
        <v/>
      </c>
      <c r="CH10" s="43">
        <f>$CC10*$AI10</f>
        <v/>
      </c>
      <c r="CI10" s="43">
        <f>$CD10*$AI10</f>
        <v/>
      </c>
      <c r="CJ10" s="44">
        <f>$O10*(1-$Q10)*(1-$P10)^(1-1)</f>
        <v/>
      </c>
      <c r="CK10" s="44">
        <f>$O10*(1-$Q10)*(1-$P10)^(2-1)</f>
        <v/>
      </c>
      <c r="CL10" s="44">
        <f>$O10*(1-$Q10)*(1-$P10)^(3-1)</f>
        <v/>
      </c>
      <c r="CM10" s="44">
        <f>$O10*(1-$Q10)*(1-$P10)^(4-1)</f>
        <v/>
      </c>
      <c r="CN10" s="44">
        <f>$O10*(1-$Q10)*(1-$P10)^(5-1)</f>
        <v/>
      </c>
      <c r="CO10" s="45">
        <f>$BU10/1000000*$CJ10</f>
        <v/>
      </c>
      <c r="CP10" s="45">
        <f>$BV10/1000000*$CK10</f>
        <v/>
      </c>
      <c r="CQ10" s="45">
        <f>$BW10/1000000*$CL10</f>
        <v/>
      </c>
      <c r="CR10" s="45">
        <f>$BX10/1000000*$CM10</f>
        <v/>
      </c>
      <c r="CS10" s="45">
        <f>$BY10/1000000*$CN10</f>
        <v/>
      </c>
      <c r="CT10" s="45">
        <f>($T10*$U10+$S10)*$BE10</f>
        <v/>
      </c>
      <c r="CU10" s="45">
        <f>($T10*$U10+$S10)*$BF10</f>
        <v/>
      </c>
      <c r="CV10" s="45">
        <f>($T10*$U10+$S10)*$BG10</f>
        <v/>
      </c>
      <c r="CW10" s="45">
        <f>($T10*$U10+$S10)*$BH10</f>
        <v/>
      </c>
      <c r="CX10" s="45">
        <f>($T10*$U10+$S10)*$BI10</f>
        <v/>
      </c>
      <c r="CY10" s="45">
        <f>IF(1=1,$R10,0)</f>
        <v/>
      </c>
      <c r="CZ10" s="45">
        <f>IF(2=1,$R10,0)</f>
        <v/>
      </c>
      <c r="DA10" s="45">
        <f>IF(3=1,$R10,0)</f>
        <v/>
      </c>
      <c r="DB10" s="45">
        <f>IF(4=1,$R10,0)</f>
        <v/>
      </c>
      <c r="DC10" s="45">
        <f>IF(5=1,$R10,0)</f>
        <v/>
      </c>
      <c r="DD10" s="45">
        <f>$CO10+$CT10+$CY10</f>
        <v/>
      </c>
      <c r="DE10" s="45">
        <f>$CP10+$CU10+$CZ10</f>
        <v/>
      </c>
      <c r="DF10" s="45">
        <f>$CQ10+$CV10+$DA10</f>
        <v/>
      </c>
      <c r="DG10" s="45">
        <f>$CR10+$CW10+$DB10</f>
        <v/>
      </c>
      <c r="DH10" s="45">
        <f>$CS10+$CX10+$DC10</f>
        <v/>
      </c>
      <c r="DI10" s="45">
        <f>$CY10</f>
        <v/>
      </c>
      <c r="DJ10" s="45">
        <f>$CZ10</f>
        <v/>
      </c>
      <c r="DK10" s="45">
        <f>$DA10</f>
        <v/>
      </c>
      <c r="DL10" s="45">
        <f>$DB10</f>
        <v/>
      </c>
      <c r="DM10" s="45">
        <f>$DC10</f>
        <v/>
      </c>
      <c r="DN10" s="45">
        <f>$CO10+$CT10</f>
        <v/>
      </c>
      <c r="DO10" s="45">
        <f>$CP10+$CU10</f>
        <v/>
      </c>
      <c r="DP10" s="45">
        <f>$CQ10+$CV10</f>
        <v/>
      </c>
      <c r="DQ10" s="45">
        <f>$CR10+$CW10</f>
        <v/>
      </c>
      <c r="DR10" s="45">
        <f>$CS10+$CX10</f>
        <v/>
      </c>
      <c r="DS10" s="45">
        <f>0</f>
        <v/>
      </c>
      <c r="DT10" s="45">
        <f>SUMPRODUCT($AZ10:$BD10,$DD10:$DH10)</f>
        <v/>
      </c>
      <c r="DU10" s="45">
        <f>SUM($DD10:$DF10)</f>
        <v/>
      </c>
      <c r="DV10" s="45">
        <f>SUM($DD10:$DH10)</f>
        <v/>
      </c>
      <c r="DW10" s="45">
        <f>SUMPRODUCT($AZ10:$BD10,$DI10:$DM10,$BJ10:$BN10)+SUMPRODUCT($AZ10:$BD10,$DN10:$DR10,$BO10:$BS10)-$DS10/(1+$AM10)^$AX10</f>
        <v/>
      </c>
      <c r="DX10" s="43">
        <f>IF($CE10&gt;0,ROUNDUP($CE10/$AP10,0),0)</f>
        <v/>
      </c>
      <c r="DY10" s="43">
        <f>IF($CF10&gt;0,ROUNDUP($CF10/$AP10,0),0)</f>
        <v/>
      </c>
      <c r="DZ10" s="43">
        <f>IF($CG10&gt;0,ROUNDUP($CG10/$AP10,0),0)</f>
        <v/>
      </c>
      <c r="EA10" s="43">
        <f>IF($CH10&gt;0,ROUNDUP($CH10/$AP10,0),0)</f>
        <v/>
      </c>
      <c r="EB10" s="43">
        <f>IF($CI10&gt;0,ROUNDUP($CI10/$AP10,0),0)</f>
        <v/>
      </c>
      <c r="EC10" s="43">
        <f>MAX($DX10,0)</f>
        <v/>
      </c>
      <c r="ED10" s="43">
        <f>MAX($DY10,$EC10)</f>
        <v/>
      </c>
      <c r="EE10" s="43">
        <f>MAX($DZ10,$ED10)</f>
        <v/>
      </c>
      <c r="EF10" s="43">
        <f>MAX($EA10,$EE10)</f>
        <v/>
      </c>
      <c r="EG10" s="43">
        <f>MAX($EB10,$EF10)</f>
        <v/>
      </c>
      <c r="EH10" s="43">
        <f>$EC10-0</f>
        <v/>
      </c>
      <c r="EI10" s="43">
        <f>$ED10-$EC10</f>
        <v/>
      </c>
      <c r="EJ10" s="43">
        <f>$EE10-$ED10</f>
        <v/>
      </c>
      <c r="EK10" s="43">
        <f>$EF10-$EE10</f>
        <v/>
      </c>
      <c r="EL10" s="43">
        <f>$EG10-$EF10</f>
        <v/>
      </c>
      <c r="EM10" s="43">
        <f>0</f>
        <v/>
      </c>
      <c r="EN10" s="43">
        <f>(1+$AY10=2)*$ER10</f>
        <v/>
      </c>
      <c r="EO10" s="43">
        <f>(1+$AY10=3)*$ER10+(2+$AY10=3)*$ES10</f>
        <v/>
      </c>
      <c r="EP10" s="43">
        <f>(1+$AY10=4)*$ER10+(2+$AY10=4)*$ES10+(3+$AY10=4)*$ET10</f>
        <v/>
      </c>
      <c r="EQ10" s="43">
        <f>(1+$AY10=5)*$ER10+(2+$AY10=5)*$ES10+(3+$AY10=5)*$ET10+(4+$AY10=5)*$EU10</f>
        <v/>
      </c>
      <c r="ER10" s="43">
        <f>$EH10+$EM10</f>
        <v/>
      </c>
      <c r="ES10" s="43">
        <f>$EI10+$EN10</f>
        <v/>
      </c>
      <c r="ET10" s="43">
        <f>$EJ10+$EO10</f>
        <v/>
      </c>
      <c r="EU10" s="43">
        <f>$EK10+$EP10</f>
        <v/>
      </c>
      <c r="EV10" s="43">
        <f>$EL10+$EQ10</f>
        <v/>
      </c>
      <c r="EW10" s="45">
        <f>$ER10*$V10</f>
        <v/>
      </c>
      <c r="EX10" s="45">
        <f>$ES10*$V10</f>
        <v/>
      </c>
      <c r="EY10" s="45">
        <f>$ET10*$V10</f>
        <v/>
      </c>
      <c r="EZ10" s="45">
        <f>$EU10*$V10</f>
        <v/>
      </c>
      <c r="FA10" s="45">
        <f>$EV10*$V10</f>
        <v/>
      </c>
      <c r="FB10" s="45">
        <f>$EM10*$V10*$X10</f>
        <v/>
      </c>
      <c r="FC10" s="45">
        <f>$EN10*$V10*$X10</f>
        <v/>
      </c>
      <c r="FD10" s="45">
        <f>$EO10*$V10*$X10</f>
        <v/>
      </c>
      <c r="FE10" s="45">
        <f>$EP10*$V10*$X10</f>
        <v/>
      </c>
      <c r="FF10" s="45">
        <f>$EQ10*$V10*$X10</f>
        <v/>
      </c>
      <c r="FG10" s="45">
        <f>$EC10*$V10*(1-$X10)/$AY10</f>
        <v/>
      </c>
      <c r="FH10" s="45">
        <f>$ED10*$V10*(1-$X10)/$AY10</f>
        <v/>
      </c>
      <c r="FI10" s="45">
        <f>$EE10*$V10*(1-$X10)/$AY10</f>
        <v/>
      </c>
      <c r="FJ10" s="45">
        <f>$EF10*$V10*(1-$X10)/$AY10</f>
        <v/>
      </c>
      <c r="FK10" s="45">
        <f>$EG10*$V10*(1-$X10)/$AY10</f>
        <v/>
      </c>
      <c r="FL10" s="45">
        <f>$EC10*$Y10*$Z10*$AA10*8760*$BE10</f>
        <v/>
      </c>
      <c r="FM10" s="45">
        <f>$ED10*$Y10*$Z10*$AA10*8760*$BF10</f>
        <v/>
      </c>
      <c r="FN10" s="45">
        <f>$EE10*$Y10*$Z10*$AA10*8760*$BG10</f>
        <v/>
      </c>
      <c r="FO10" s="45">
        <f>$EF10*$Y10*$Z10*$AA10*8760*$BH10</f>
        <v/>
      </c>
      <c r="FP10" s="45">
        <f>$EG10*$Y10*$Z10*$AA10*8760*$BI10</f>
        <v/>
      </c>
      <c r="FQ10" s="45">
        <f>IF($AC10&gt;0,$AC10,$EC10*$Y10*$AB10*12)*$BE10</f>
        <v/>
      </c>
      <c r="FR10" s="45">
        <f>IF($AC10&gt;0,$AC10,$ED10*$Y10*$AB10*12)*$BF10</f>
        <v/>
      </c>
      <c r="FS10" s="45">
        <f>IF($AC10&gt;0,$AC10,$EE10*$Y10*$AB10*12)*$BG10</f>
        <v/>
      </c>
      <c r="FT10" s="45">
        <f>IF($AC10&gt;0,$AC10,$EF10*$Y10*$AB10*12)*$BH10</f>
        <v/>
      </c>
      <c r="FU10" s="45">
        <f>IF($AC10&gt;0,$AC10,$EG10*$Y10*$AB10*12)*$BI10</f>
        <v/>
      </c>
      <c r="FV10" s="45">
        <f>$EC10*$V10*$AD10*$BE10</f>
        <v/>
      </c>
      <c r="FW10" s="45">
        <f>$ED10*$V10*$AD10*$BF10</f>
        <v/>
      </c>
      <c r="FX10" s="45">
        <f>$EE10*$V10*$AD10*$BG10</f>
        <v/>
      </c>
      <c r="FY10" s="45">
        <f>$EF10*$V10*$AD10*$BH10</f>
        <v/>
      </c>
      <c r="FZ10" s="45">
        <f>$EG10*$V10*$AD10*$BI10</f>
        <v/>
      </c>
      <c r="GA10" s="45">
        <f>$AE10*$BE10</f>
        <v/>
      </c>
      <c r="GB10" s="45">
        <f>$AE10*$BF10</f>
        <v/>
      </c>
      <c r="GC10" s="45">
        <f>$AE10*$BG10</f>
        <v/>
      </c>
      <c r="GD10" s="45">
        <f>$AE10*$BH10</f>
        <v/>
      </c>
      <c r="GE10" s="45">
        <f>$AE10*$BI10</f>
        <v/>
      </c>
      <c r="GF10" s="45">
        <f>$AF10*$AG10*$BE10</f>
        <v/>
      </c>
      <c r="GG10" s="45">
        <f>$AF10*$AG10*$BF10</f>
        <v/>
      </c>
      <c r="GH10" s="45">
        <f>$AF10*$AG10*$BG10</f>
        <v/>
      </c>
      <c r="GI10" s="45">
        <f>$AF10*$AG10*$BH10</f>
        <v/>
      </c>
      <c r="GJ10" s="45">
        <f>$AF10*$AG10*$BI10</f>
        <v/>
      </c>
      <c r="GK10" s="45">
        <f>IF(1=1,$AH10,0)</f>
        <v/>
      </c>
      <c r="GL10" s="45">
        <f>IF(2=1,$AH10,0)</f>
        <v/>
      </c>
      <c r="GM10" s="45">
        <f>IF(3=1,$AH10,0)</f>
        <v/>
      </c>
      <c r="GN10" s="45">
        <f>IF(4=1,$AH10,0)</f>
        <v/>
      </c>
      <c r="GO10" s="45">
        <f>IF(5=1,$AH10,0)</f>
        <v/>
      </c>
      <c r="GP10" s="45">
        <f>$FG10+$FL10+$FQ10+$FV10+$GA10+$GF10+$GK10</f>
        <v/>
      </c>
      <c r="GQ10" s="45">
        <f>$FH10+$FM10+$FR10+$FW10+$GB10+$GG10+$GL10</f>
        <v/>
      </c>
      <c r="GR10" s="45">
        <f>$FI10+$FN10+$FS10+$FX10+$GC10+$GH10+$GM10</f>
        <v/>
      </c>
      <c r="GS10" s="45">
        <f>$FJ10+$FO10+$FT10+$FY10+$GD10+$GI10+$GN10</f>
        <v/>
      </c>
      <c r="GT10" s="45">
        <f>$FK10+$FP10+$FU10+$FZ10+$GE10+$GJ10+$GO10</f>
        <v/>
      </c>
      <c r="GU10" s="45">
        <f>$EW10-$FB10+$GK10</f>
        <v/>
      </c>
      <c r="GV10" s="45">
        <f>$EX10-$FC10+$GL10</f>
        <v/>
      </c>
      <c r="GW10" s="45">
        <f>$EY10-$FD10+$GM10</f>
        <v/>
      </c>
      <c r="GX10" s="45">
        <f>$EZ10-$FE10+$GN10</f>
        <v/>
      </c>
      <c r="GY10" s="45">
        <f>$FA10-$FF10+$GO10</f>
        <v/>
      </c>
      <c r="GZ10" s="45">
        <f>$FL10+$FQ10+$FV10+$GA10+$GF10</f>
        <v/>
      </c>
      <c r="HA10" s="45">
        <f>$FM10+$FR10+$FW10+$GB10+$GG10</f>
        <v/>
      </c>
      <c r="HB10" s="45">
        <f>$FN10+$FS10+$FX10+$GC10+$GH10</f>
        <v/>
      </c>
      <c r="HC10" s="45">
        <f>$FO10+$FT10+$FY10+$GD10+$GI10</f>
        <v/>
      </c>
      <c r="HD10" s="45">
        <f>$FP10+$FU10+$FZ10+$GE10+$GJ10</f>
        <v/>
      </c>
      <c r="HE10" s="45">
        <f>((1&lt;=$AX10)*(1&gt;$AX10-$AY10))*$ER10*$V10*MAX(0,1-(1-$X10)*($AX10-1+1)/$AY10)+((2&lt;=$AX10)*(2&gt;$AX10-$AY10))*$ES10*$V10*MAX(0,1-(1-$X10)*($AX10-2+1)/$AY10)+((3&lt;=$AX10)*(3&gt;$AX10-$AY10))*$ET10*$V10*MAX(0,1-(1-$X10)*($AX10-3+1)/$AY10)+((4&lt;=$AX10)*(4&gt;$AX10-$AY10))*$EU10*$V10*MAX(0,1-(1-$X10)*($AX10-4+1)/$AY10)+((5&lt;=$AX10)*(5&gt;$AX10-$AY10))*$EV10*$V10*MAX(0,1-(1-$X10)*($AX10-5+1)/$AY10)</f>
        <v/>
      </c>
      <c r="HF10" s="45">
        <f>SUMPRODUCT($AZ10:$BD10,$GP10:$GT10)</f>
        <v/>
      </c>
      <c r="HG10" s="45">
        <f>SUM($GP10:$GR10)</f>
        <v/>
      </c>
      <c r="HH10" s="45">
        <f>SUM($GP10:$GT10)</f>
        <v/>
      </c>
      <c r="HI10" s="45">
        <f>SUMPRODUCT($AZ10:$BD10,$GU10:$GY10,$BJ10:$BN10)+SUMPRODUCT($AZ10:$BD10,$GZ10:$HD10,$BO10:$BS10)-$HE10/(1+$AM10)^$AX10</f>
        <v/>
      </c>
      <c r="HJ10" s="46">
        <f>MIN(1,MAX(0,IF(ISNUMBER($AJ10),$AJ10,IF($F10+$G10+$H10&gt;0,($G10+$H10)/($F10+$G10+$H10),0))*$AR10))</f>
        <v/>
      </c>
      <c r="HK10" s="25">
        <f>IF($HJ10&gt;0,1,0)</f>
        <v/>
      </c>
      <c r="HL10" s="25">
        <f>IF($HJ10&lt;1,1,0)</f>
        <v/>
      </c>
      <c r="HM10" s="43">
        <f>IF($CE10*$HJ10&gt;0,ROUNDUP($CE10*$HJ10/$AP10,0),0)</f>
        <v/>
      </c>
      <c r="HN10" s="43">
        <f>IF($CF10*$HJ10&gt;0,ROUNDUP($CF10*$HJ10/$AP10,0),0)</f>
        <v/>
      </c>
      <c r="HO10" s="43">
        <f>IF($CG10*$HJ10&gt;0,ROUNDUP($CG10*$HJ10/$AP10,0),0)</f>
        <v/>
      </c>
      <c r="HP10" s="43">
        <f>IF($CH10*$HJ10&gt;0,ROUNDUP($CH10*$HJ10/$AP10,0),0)</f>
        <v/>
      </c>
      <c r="HQ10" s="43">
        <f>IF($CI10*$HJ10&gt;0,ROUNDUP($CI10*$HJ10/$AP10,0),0)</f>
        <v/>
      </c>
      <c r="HR10" s="43">
        <f>MAX($HM10,0)</f>
        <v/>
      </c>
      <c r="HS10" s="43">
        <f>MAX($HN10,$HR10)</f>
        <v/>
      </c>
      <c r="HT10" s="43">
        <f>MAX($HO10,$HS10)</f>
        <v/>
      </c>
      <c r="HU10" s="43">
        <f>MAX($HP10,$HT10)</f>
        <v/>
      </c>
      <c r="HV10" s="43">
        <f>MAX($HQ10,$HU10)</f>
        <v/>
      </c>
      <c r="HW10" s="43">
        <f>$HR10-0</f>
        <v/>
      </c>
      <c r="HX10" s="43">
        <f>$HS10-$HR10</f>
        <v/>
      </c>
      <c r="HY10" s="43">
        <f>$HT10-$HS10</f>
        <v/>
      </c>
      <c r="HZ10" s="43">
        <f>$HU10-$HT10</f>
        <v/>
      </c>
      <c r="IA10" s="43">
        <f>$HV10-$HU10</f>
        <v/>
      </c>
      <c r="IB10" s="43">
        <f>0</f>
        <v/>
      </c>
      <c r="IC10" s="43">
        <f>(1+$AY10=2)*$IG10</f>
        <v/>
      </c>
      <c r="ID10" s="43">
        <f>(1+$AY10=3)*$IG10+(2+$AY10=3)*$IH10</f>
        <v/>
      </c>
      <c r="IE10" s="43">
        <f>(1+$AY10=4)*$IG10+(2+$AY10=4)*$IH10+(3+$AY10=4)*$II10</f>
        <v/>
      </c>
      <c r="IF10" s="43">
        <f>(1+$AY10=5)*$IG10+(2+$AY10=5)*$IH10+(3+$AY10=5)*$II10+(4+$AY10=5)*$IJ10</f>
        <v/>
      </c>
      <c r="IG10" s="43">
        <f>$HW10+$IB10</f>
        <v/>
      </c>
      <c r="IH10" s="43">
        <f>$HX10+$IC10</f>
        <v/>
      </c>
      <c r="II10" s="43">
        <f>$HY10+$ID10</f>
        <v/>
      </c>
      <c r="IJ10" s="43">
        <f>$HZ10+$IE10</f>
        <v/>
      </c>
      <c r="IK10" s="43">
        <f>$IA10+$IF10</f>
        <v/>
      </c>
      <c r="IL10" s="45">
        <f>$IG10*$V10</f>
        <v/>
      </c>
      <c r="IM10" s="45">
        <f>$IH10*$V10</f>
        <v/>
      </c>
      <c r="IN10" s="45">
        <f>$II10*$V10</f>
        <v/>
      </c>
      <c r="IO10" s="45">
        <f>$IJ10*$V10</f>
        <v/>
      </c>
      <c r="IP10" s="45">
        <f>$IK10*$V10</f>
        <v/>
      </c>
      <c r="IQ10" s="45">
        <f>$IB10*$V10*$X10</f>
        <v/>
      </c>
      <c r="IR10" s="45">
        <f>$IC10*$V10*$X10</f>
        <v/>
      </c>
      <c r="IS10" s="45">
        <f>$ID10*$V10*$X10</f>
        <v/>
      </c>
      <c r="IT10" s="45">
        <f>$IE10*$V10*$X10</f>
        <v/>
      </c>
      <c r="IU10" s="45">
        <f>$IF10*$V10*$X10</f>
        <v/>
      </c>
      <c r="IV10" s="45">
        <f>$HR10*$V10*(1-$X10)/$AY10</f>
        <v/>
      </c>
      <c r="IW10" s="45">
        <f>$HS10*$V10*(1-$X10)/$AY10</f>
        <v/>
      </c>
      <c r="IX10" s="45">
        <f>$HT10*$V10*(1-$X10)/$AY10</f>
        <v/>
      </c>
      <c r="IY10" s="45">
        <f>$HU10*$V10*(1-$X10)/$AY10</f>
        <v/>
      </c>
      <c r="IZ10" s="45">
        <f>$HV10*$V10*(1-$X10)/$AY10</f>
        <v/>
      </c>
      <c r="JA10" s="45">
        <f>$HR10*$Y10*$Z10*$AA10*8760*$BE10</f>
        <v/>
      </c>
      <c r="JB10" s="45">
        <f>$HS10*$Y10*$Z10*$AA10*8760*$BF10</f>
        <v/>
      </c>
      <c r="JC10" s="45">
        <f>$HT10*$Y10*$Z10*$AA10*8760*$BG10</f>
        <v/>
      </c>
      <c r="JD10" s="45">
        <f>$HU10*$Y10*$Z10*$AA10*8760*$BH10</f>
        <v/>
      </c>
      <c r="JE10" s="45">
        <f>$HV10*$Y10*$Z10*$AA10*8760*$BI10</f>
        <v/>
      </c>
      <c r="JF10" s="45">
        <f>IF($AC10&gt;0,$AC10*$HK10,$HR10*$Y10*$AB10*12)*$BE10</f>
        <v/>
      </c>
      <c r="JG10" s="45">
        <f>IF($AC10&gt;0,$AC10*$HK10,$HS10*$Y10*$AB10*12)*$BF10</f>
        <v/>
      </c>
      <c r="JH10" s="45">
        <f>IF($AC10&gt;0,$AC10*$HK10,$HT10*$Y10*$AB10*12)*$BG10</f>
        <v/>
      </c>
      <c r="JI10" s="45">
        <f>IF($AC10&gt;0,$AC10*$HK10,$HU10*$Y10*$AB10*12)*$BH10</f>
        <v/>
      </c>
      <c r="JJ10" s="45">
        <f>IF($AC10&gt;0,$AC10*$HK10,$HV10*$Y10*$AB10*12)*$BI10</f>
        <v/>
      </c>
      <c r="JK10" s="45">
        <f>$HR10*$V10*$AD10*$BE10</f>
        <v/>
      </c>
      <c r="JL10" s="45">
        <f>$HS10*$V10*$AD10*$BF10</f>
        <v/>
      </c>
      <c r="JM10" s="45">
        <f>$HT10*$V10*$AD10*$BG10</f>
        <v/>
      </c>
      <c r="JN10" s="45">
        <f>$HU10*$V10*$AD10*$BH10</f>
        <v/>
      </c>
      <c r="JO10" s="45">
        <f>$HV10*$V10*$AD10*$BI10</f>
        <v/>
      </c>
      <c r="JP10" s="45">
        <f>$AE10*$BE10*$HK10</f>
        <v/>
      </c>
      <c r="JQ10" s="45">
        <f>$AE10*$BF10*$HK10</f>
        <v/>
      </c>
      <c r="JR10" s="45">
        <f>$AE10*$BG10*$HK10</f>
        <v/>
      </c>
      <c r="JS10" s="45">
        <f>$AE10*$BH10*$HK10</f>
        <v/>
      </c>
      <c r="JT10" s="45">
        <f>$AE10*$BI10*$HK10</f>
        <v/>
      </c>
      <c r="JU10" s="45">
        <f>$AQ10*$AG10*$BE10*$HK10</f>
        <v/>
      </c>
      <c r="JV10" s="45">
        <f>$AQ10*$AG10*$BF10*$HK10</f>
        <v/>
      </c>
      <c r="JW10" s="45">
        <f>$AQ10*$AG10*$BG10*$HK10</f>
        <v/>
      </c>
      <c r="JX10" s="45">
        <f>$AQ10*$AG10*$BH10*$HK10</f>
        <v/>
      </c>
      <c r="JY10" s="45">
        <f>$AQ10*$AG10*$BI10*$HK10</f>
        <v/>
      </c>
      <c r="JZ10" s="45">
        <f>$BU10*(1-$HJ10)/1000000*$CJ10</f>
        <v/>
      </c>
      <c r="KA10" s="45">
        <f>$BV10*(1-$HJ10)/1000000*$CK10</f>
        <v/>
      </c>
      <c r="KB10" s="45">
        <f>$BW10*(1-$HJ10)/1000000*$CL10</f>
        <v/>
      </c>
      <c r="KC10" s="45">
        <f>$BX10*(1-$HJ10)/1000000*$CM10</f>
        <v/>
      </c>
      <c r="KD10" s="45">
        <f>$BY10*(1-$HJ10)/1000000*$CN10</f>
        <v/>
      </c>
      <c r="KE10" s="45">
        <f>$CT10*$HL10</f>
        <v/>
      </c>
      <c r="KF10" s="45">
        <f>$CU10*$HL10</f>
        <v/>
      </c>
      <c r="KG10" s="45">
        <f>$CV10*$HL10</f>
        <v/>
      </c>
      <c r="KH10" s="45">
        <f>$CW10*$HL10</f>
        <v/>
      </c>
      <c r="KI10" s="45">
        <f>$CX10*$HL10</f>
        <v/>
      </c>
      <c r="KJ10" s="45">
        <f>IF(1=1,$R10*$HL10+$AH10*$HK10+$AK10,0)</f>
        <v/>
      </c>
      <c r="KK10" s="45">
        <f>IF(2=1,$R10*$HL10+$AH10*$HK10+$AK10,0)</f>
        <v/>
      </c>
      <c r="KL10" s="45">
        <f>IF(3=1,$R10*$HL10+$AH10*$HK10+$AK10,0)</f>
        <v/>
      </c>
      <c r="KM10" s="45">
        <f>IF(4=1,$R10*$HL10+$AH10*$HK10+$AK10,0)</f>
        <v/>
      </c>
      <c r="KN10" s="45">
        <f>IF(5=1,$R10*$HL10+$AH10*$HK10+$AK10,0)</f>
        <v/>
      </c>
      <c r="KO10" s="45">
        <f>$IV10+$JA10+$JF10+$JK10+$JP10+$JU10+$JZ10+$KE10+$KJ10</f>
        <v/>
      </c>
      <c r="KP10" s="45">
        <f>$IW10+$JB10+$JG10+$JL10+$JQ10+$JV10+$KA10+$KF10+$KK10</f>
        <v/>
      </c>
      <c r="KQ10" s="45">
        <f>$IX10+$JC10+$JH10+$JM10+$JR10+$JW10+$KB10+$KG10+$KL10</f>
        <v/>
      </c>
      <c r="KR10" s="45">
        <f>$IY10+$JD10+$JI10+$JN10+$JS10+$JX10+$KC10+$KH10+$KM10</f>
        <v/>
      </c>
      <c r="KS10" s="45">
        <f>$IZ10+$JE10+$JJ10+$JO10+$JT10+$JY10+$KD10+$KI10+$KN10</f>
        <v/>
      </c>
      <c r="KT10" s="45">
        <f>$IL10-$IQ10+$KJ10</f>
        <v/>
      </c>
      <c r="KU10" s="45">
        <f>$IM10-$IR10+$KK10</f>
        <v/>
      </c>
      <c r="KV10" s="45">
        <f>$IN10-$IS10+$KL10</f>
        <v/>
      </c>
      <c r="KW10" s="45">
        <f>$IO10-$IT10+$KM10</f>
        <v/>
      </c>
      <c r="KX10" s="45">
        <f>$IP10-$IU10+$KN10</f>
        <v/>
      </c>
      <c r="KY10" s="45">
        <f>$JA10+$JF10+$JK10+$JP10+$JU10+$JZ10+$KE10</f>
        <v/>
      </c>
      <c r="KZ10" s="45">
        <f>$JB10+$JG10+$JL10+$JQ10+$JV10+$KA10+$KF10</f>
        <v/>
      </c>
      <c r="LA10" s="45">
        <f>$JC10+$JH10+$JM10+$JR10+$JW10+$KB10+$KG10</f>
        <v/>
      </c>
      <c r="LB10" s="45">
        <f>$JD10+$JI10+$JN10+$JS10+$JX10+$KC10+$KH10</f>
        <v/>
      </c>
      <c r="LC10" s="45">
        <f>$JE10+$JJ10+$JO10+$JT10+$JY10+$KD10+$KI10</f>
        <v/>
      </c>
      <c r="LD10" s="45">
        <f>((1&lt;=$AX10)*(1&gt;$AX10-$AY10))*$IG10*$V10*MAX(0,1-(1-$X10)*($AX10-1+1)/$AY10)+((2&lt;=$AX10)*(2&gt;$AX10-$AY10))*$IH10*$V10*MAX(0,1-(1-$X10)*($AX10-2+1)/$AY10)+((3&lt;=$AX10)*(3&gt;$AX10-$AY10))*$II10*$V10*MAX(0,1-(1-$X10)*($AX10-3+1)/$AY10)+((4&lt;=$AX10)*(4&gt;$AX10-$AY10))*$IJ10*$V10*MAX(0,1-(1-$X10)*($AX10-4+1)/$AY10)+((5&lt;=$AX10)*(5&gt;$AX10-$AY10))*$IK10*$V10*MAX(0,1-(1-$X10)*($AX10-5+1)/$AY10)</f>
        <v/>
      </c>
      <c r="LE10" s="45">
        <f>SUMPRODUCT($AZ10:$BD10,$KO10:$KS10)</f>
        <v/>
      </c>
      <c r="LF10" s="45">
        <f>SUM($KO10:$KQ10)</f>
        <v/>
      </c>
      <c r="LG10" s="45">
        <f>SUM($KO10:$KS10)</f>
        <v/>
      </c>
      <c r="LH10" s="45">
        <f>SUMPRODUCT($AZ10:$BD10,$KT10:$KX10,$BJ10:$BN10)+SUMPRODUCT($AZ10:$BD10,$KY10:$LC10,$BO10:$BS10)-$LD10/(1+$AM10)^$AX10</f>
        <v/>
      </c>
      <c r="LI10" s="43">
        <f>$BU10/1000000</f>
        <v/>
      </c>
      <c r="LJ10" s="44">
        <f>IF($LI10&gt;0,$DD10/$LI10,0)</f>
        <v/>
      </c>
      <c r="LK10" s="44">
        <f>IF($LI10&gt;0,$GP10/$LI10,0)</f>
        <v/>
      </c>
      <c r="LL10" s="44">
        <f>IF($LI10&gt;0,$KO10/$LI10,0)</f>
        <v/>
      </c>
      <c r="LM10" s="43">
        <f>$AP10*31536000/1000000</f>
        <v/>
      </c>
      <c r="LN10" s="43">
        <f>$EC10*$LM10</f>
        <v/>
      </c>
      <c r="LO10" s="45">
        <f>$FG10+$FL10+$FQ10+$FV10+$GA10+$GF10</f>
        <v/>
      </c>
      <c r="LP10" s="46">
        <f>IF($LN10*$CJ10&gt;0,MAX(0,($LO10-$CT10)/($LN10*$CJ10)),0)</f>
        <v/>
      </c>
      <c r="LQ10" s="46">
        <f>IF($LN10&gt;0,$LI10/$LN10,0)</f>
        <v/>
      </c>
      <c r="LR10" s="46">
        <f>1/($M10*$AI10)</f>
        <v/>
      </c>
      <c r="LS10" s="43">
        <f>$HR10*$LM10</f>
        <v/>
      </c>
      <c r="LT10" s="45">
        <f>$IV10+$JA10+$JF10+$JK10+$JP10+$JU10</f>
        <v/>
      </c>
      <c r="LU10" s="46">
        <f>IF($LS10*$CJ10&gt;0,$LT10/($LS10*$CJ10),0)</f>
        <v/>
      </c>
      <c r="LV10" s="46">
        <f>IF($LS10&gt;0,$LI10*$HJ10/$LS10,0)</f>
        <v/>
      </c>
      <c r="LW10" s="45">
        <f>$V10*(1-$X10)/$AY10+$Y10*$Z10*$AA10*8760+IF($AC10&gt;0,0,$Y10*$AB10*12)+$V10*$AD10</f>
        <v/>
      </c>
      <c r="LX10" s="46">
        <f>IF($LM10*$CJ10&gt;0,$LW10/($LM10*$CJ10),0)</f>
        <v/>
      </c>
      <c r="LY10" s="44">
        <f>IF($LM10*$LR10&gt;0,$LW10/($LM10*$LR10),0)</f>
        <v/>
      </c>
      <c r="LZ10" s="45">
        <f>$AE10+$AF10*$AG10+IF($AC10&gt;0,$AC10,0)-$CT10</f>
        <v/>
      </c>
      <c r="MA10" s="43">
        <f>IF($CJ10&gt;$LY10,MAX(0,$LZ10)/($CJ10-$LY10)*1000000,"Not reachable")</f>
        <v/>
      </c>
      <c r="MB10" s="47">
        <f>IF(AND(ISNUMBER($MA10),$BU10&gt;0),$MA10/$BU10,"n/a")</f>
        <v/>
      </c>
      <c r="MC10" s="47">
        <f>$B10*MAX(0,$D10-1)*$E10</f>
        <v/>
      </c>
      <c r="MD10" s="45">
        <f>$MC10*$C10</f>
        <v/>
      </c>
      <c r="ME10" s="45">
        <f>$MD10*SUMPRODUCT($AZ10:$BD10,$BO10:$BS10)</f>
        <v/>
      </c>
      <c r="MF10" s="45">
        <f>IF($AO10="Yes",$ME10-$DW10,0)</f>
        <v/>
      </c>
      <c r="MG10" s="45">
        <f>IF($AO10="Yes",$ME10-$HI10,0)</f>
        <v/>
      </c>
      <c r="MH10" s="45">
        <f>IF($AO10="Yes",$ME10-$LH10,0)</f>
        <v/>
      </c>
      <c r="MI10" s="45">
        <f>IF($AO10="Yes",$MD10-$DD10,0)</f>
        <v/>
      </c>
      <c r="MJ10" s="25">
        <f>IF(AND($DW10&lt;=$HI10,$DW10&lt;=$LH10),"Rent the Frontier",IF($HI10&lt;=$LH10,"Own the Frontier","Hybrid"))</f>
        <v/>
      </c>
      <c r="MK10" s="25">
        <f>IF(AND($DT10&lt;=$HF10,$DT10&lt;=$LE10),"Rent the Frontier",IF($HF10&lt;=$LE10,"Own the Frontier","Hybrid"))</f>
        <v/>
      </c>
    </row>
    <row r="11">
      <c r="A11" s="25">
        <f>Sensitivity!A14&amp;" ("&amp;Sensitivity!C14&amp;")"</f>
        <v/>
      </c>
      <c r="B11" s="25">
        <f>Inputs!$B$5</f>
        <v/>
      </c>
      <c r="C11" s="25">
        <f>Inputs!$B$6</f>
        <v/>
      </c>
      <c r="D11" s="25">
        <f>Inputs!$B$7</f>
        <v/>
      </c>
      <c r="E11" s="25">
        <f>Inputs!$B$8</f>
        <v/>
      </c>
      <c r="F11" s="25">
        <f>Inputs!$B$12</f>
        <v/>
      </c>
      <c r="G11" s="25">
        <f>Inputs!$B$13</f>
        <v/>
      </c>
      <c r="H11" s="25">
        <f>Inputs!$B$14</f>
        <v/>
      </c>
      <c r="I11" s="25">
        <f>Inputs!$B$18</f>
        <v/>
      </c>
      <c r="J11" s="25">
        <f>Inputs!$B$19</f>
        <v/>
      </c>
      <c r="K11" s="25">
        <f>Inputs!$B$20</f>
        <v/>
      </c>
      <c r="L11" s="25">
        <f>Inputs!$B$21</f>
        <v/>
      </c>
      <c r="M11" s="25">
        <f>Inputs!$B$22</f>
        <v/>
      </c>
      <c r="N11" s="25">
        <f>Inputs!$B$23</f>
        <v/>
      </c>
      <c r="O11" s="25">
        <f>Inputs!$B$26</f>
        <v/>
      </c>
      <c r="P11" s="25">
        <f>Inputs!$B$27</f>
        <v/>
      </c>
      <c r="Q11" s="25">
        <f>Inputs!$B$28</f>
        <v/>
      </c>
      <c r="R11" s="25">
        <f>Inputs!$B$29</f>
        <v/>
      </c>
      <c r="S11" s="25">
        <f>Inputs!$B$30</f>
        <v/>
      </c>
      <c r="T11" s="25">
        <f>Inputs!$B$31</f>
        <v/>
      </c>
      <c r="U11" s="25">
        <f>Inputs!$B$32</f>
        <v/>
      </c>
      <c r="V11" s="25">
        <f>Inputs!$B$35*Sensitivity!$D$14</f>
        <v/>
      </c>
      <c r="W11" s="25">
        <f>Inputs!$B$36</f>
        <v/>
      </c>
      <c r="X11" s="25">
        <f>Inputs!$B$37</f>
        <v/>
      </c>
      <c r="Y11" s="25">
        <f>Inputs!$B$38</f>
        <v/>
      </c>
      <c r="Z11" s="25">
        <f>Inputs!$B$39</f>
        <v/>
      </c>
      <c r="AA11" s="25">
        <f>Inputs!$B$40</f>
        <v/>
      </c>
      <c r="AB11" s="25">
        <f>Inputs!$B$41</f>
        <v/>
      </c>
      <c r="AC11" s="25">
        <f>Inputs!$B$42</f>
        <v/>
      </c>
      <c r="AD11" s="25">
        <f>Inputs!$B$43</f>
        <v/>
      </c>
      <c r="AE11" s="25">
        <f>Inputs!$B$44</f>
        <v/>
      </c>
      <c r="AF11" s="25">
        <f>Inputs!$B$45</f>
        <v/>
      </c>
      <c r="AG11" s="25">
        <f>Inputs!$B$46</f>
        <v/>
      </c>
      <c r="AH11" s="25">
        <f>Inputs!$B$47</f>
        <v/>
      </c>
      <c r="AI11" s="25">
        <f>Inputs!$B$48</f>
        <v/>
      </c>
      <c r="AJ11" s="25">
        <f>IF(ISNUMBER(Inputs!$B$51),Inputs!$B$51,"")</f>
        <v/>
      </c>
      <c r="AK11" s="25">
        <f>Inputs!$B$52</f>
        <v/>
      </c>
      <c r="AL11" s="25">
        <f>Inputs!$B$55</f>
        <v/>
      </c>
      <c r="AM11" s="25">
        <f>Inputs!$B$56</f>
        <v/>
      </c>
      <c r="AN11" s="25">
        <f>Inputs!$B$57</f>
        <v/>
      </c>
      <c r="AO11" s="25">
        <f>Inputs!$B$58</f>
        <v/>
      </c>
      <c r="AP11" s="25">
        <f>Inputs!$B$61</f>
        <v/>
      </c>
      <c r="AQ11" s="25">
        <f>Inputs!$B$62</f>
        <v/>
      </c>
      <c r="AR11" s="25">
        <f>1</f>
        <v/>
      </c>
      <c r="AS11" s="25" t="n">
        <v>1</v>
      </c>
      <c r="AT11" s="25" t="n">
        <v>2</v>
      </c>
      <c r="AU11" s="25" t="n">
        <v>3</v>
      </c>
      <c r="AV11" s="25" t="n">
        <v>4</v>
      </c>
      <c r="AW11" s="25" t="n">
        <v>5</v>
      </c>
      <c r="AX11" s="25">
        <f>MIN(5,MAX(1,ROUND($AL11,0)))</f>
        <v/>
      </c>
      <c r="AY11" s="25">
        <f>MAX(1,ROUND($W11,0))</f>
        <v/>
      </c>
      <c r="AZ11" s="25">
        <f>IF(1&lt;=$AX11,1,0)</f>
        <v/>
      </c>
      <c r="BA11" s="25">
        <f>IF(2&lt;=$AX11,1,0)</f>
        <v/>
      </c>
      <c r="BB11" s="25">
        <f>IF(3&lt;=$AX11,1,0)</f>
        <v/>
      </c>
      <c r="BC11" s="25">
        <f>IF(4&lt;=$AX11,1,0)</f>
        <v/>
      </c>
      <c r="BD11" s="25">
        <f>IF(5&lt;=$AX11,1,0)</f>
        <v/>
      </c>
      <c r="BE11" s="52">
        <f>(1+$AN11)^(1-1)</f>
        <v/>
      </c>
      <c r="BF11" s="52">
        <f>(1+$AN11)^(2-1)</f>
        <v/>
      </c>
      <c r="BG11" s="52">
        <f>(1+$AN11)^(3-1)</f>
        <v/>
      </c>
      <c r="BH11" s="52">
        <f>(1+$AN11)^(4-1)</f>
        <v/>
      </c>
      <c r="BI11" s="52">
        <f>(1+$AN11)^(5-1)</f>
        <v/>
      </c>
      <c r="BJ11" s="53">
        <f>1/(1+$AM11)^(1-1)</f>
        <v/>
      </c>
      <c r="BK11" s="53">
        <f>1/(1+$AM11)^(2-1)</f>
        <v/>
      </c>
      <c r="BL11" s="53">
        <f>1/(1+$AM11)^(3-1)</f>
        <v/>
      </c>
      <c r="BM11" s="53">
        <f>1/(1+$AM11)^(4-1)</f>
        <v/>
      </c>
      <c r="BN11" s="53">
        <f>1/(1+$AM11)^(5-1)</f>
        <v/>
      </c>
      <c r="BO11" s="53">
        <f>1/(1+$AM11)^1</f>
        <v/>
      </c>
      <c r="BP11" s="53">
        <f>1/(1+$AM11)^2</f>
        <v/>
      </c>
      <c r="BQ11" s="53">
        <f>1/(1+$AM11)^3</f>
        <v/>
      </c>
      <c r="BR11" s="53">
        <f>1/(1+$AM11)^4</f>
        <v/>
      </c>
      <c r="BS11" s="53">
        <f>1/(1+$AM11)^5</f>
        <v/>
      </c>
      <c r="BT11" s="43">
        <f>IF(AND($I11="Direct monthly estimate",$J11&gt;0),$J11,$D11*$K11*$L11)</f>
        <v/>
      </c>
      <c r="BU11" s="43">
        <f>$BT11*$B11*12*(1+$N11)^(1-1)</f>
        <v/>
      </c>
      <c r="BV11" s="43">
        <f>$BT11*$B11*12*(1+$N11)^(2-1)</f>
        <v/>
      </c>
      <c r="BW11" s="43">
        <f>$BT11*$B11*12*(1+$N11)^(3-1)</f>
        <v/>
      </c>
      <c r="BX11" s="43">
        <f>$BT11*$B11*12*(1+$N11)^(4-1)</f>
        <v/>
      </c>
      <c r="BY11" s="43">
        <f>$BT11*$B11*12*(1+$N11)^(5-1)</f>
        <v/>
      </c>
      <c r="BZ11" s="43">
        <f>$BU11/31536000*$M11</f>
        <v/>
      </c>
      <c r="CA11" s="43">
        <f>$BV11/31536000*$M11</f>
        <v/>
      </c>
      <c r="CB11" s="43">
        <f>$BW11/31536000*$M11</f>
        <v/>
      </c>
      <c r="CC11" s="43">
        <f>$BX11/31536000*$M11</f>
        <v/>
      </c>
      <c r="CD11" s="43">
        <f>$BY11/31536000*$M11</f>
        <v/>
      </c>
      <c r="CE11" s="43">
        <f>$BZ11*$AI11</f>
        <v/>
      </c>
      <c r="CF11" s="43">
        <f>$CA11*$AI11</f>
        <v/>
      </c>
      <c r="CG11" s="43">
        <f>$CB11*$AI11</f>
        <v/>
      </c>
      <c r="CH11" s="43">
        <f>$CC11*$AI11</f>
        <v/>
      </c>
      <c r="CI11" s="43">
        <f>$CD11*$AI11</f>
        <v/>
      </c>
      <c r="CJ11" s="44">
        <f>$O11*(1-$Q11)*(1-$P11)^(1-1)</f>
        <v/>
      </c>
      <c r="CK11" s="44">
        <f>$O11*(1-$Q11)*(1-$P11)^(2-1)</f>
        <v/>
      </c>
      <c r="CL11" s="44">
        <f>$O11*(1-$Q11)*(1-$P11)^(3-1)</f>
        <v/>
      </c>
      <c r="CM11" s="44">
        <f>$O11*(1-$Q11)*(1-$P11)^(4-1)</f>
        <v/>
      </c>
      <c r="CN11" s="44">
        <f>$O11*(1-$Q11)*(1-$P11)^(5-1)</f>
        <v/>
      </c>
      <c r="CO11" s="45">
        <f>$BU11/1000000*$CJ11</f>
        <v/>
      </c>
      <c r="CP11" s="45">
        <f>$BV11/1000000*$CK11</f>
        <v/>
      </c>
      <c r="CQ11" s="45">
        <f>$BW11/1000000*$CL11</f>
        <v/>
      </c>
      <c r="CR11" s="45">
        <f>$BX11/1000000*$CM11</f>
        <v/>
      </c>
      <c r="CS11" s="45">
        <f>$BY11/1000000*$CN11</f>
        <v/>
      </c>
      <c r="CT11" s="45">
        <f>($T11*$U11+$S11)*$BE11</f>
        <v/>
      </c>
      <c r="CU11" s="45">
        <f>($T11*$U11+$S11)*$BF11</f>
        <v/>
      </c>
      <c r="CV11" s="45">
        <f>($T11*$U11+$S11)*$BG11</f>
        <v/>
      </c>
      <c r="CW11" s="45">
        <f>($T11*$U11+$S11)*$BH11</f>
        <v/>
      </c>
      <c r="CX11" s="45">
        <f>($T11*$U11+$S11)*$BI11</f>
        <v/>
      </c>
      <c r="CY11" s="45">
        <f>IF(1=1,$R11,0)</f>
        <v/>
      </c>
      <c r="CZ11" s="45">
        <f>IF(2=1,$R11,0)</f>
        <v/>
      </c>
      <c r="DA11" s="45">
        <f>IF(3=1,$R11,0)</f>
        <v/>
      </c>
      <c r="DB11" s="45">
        <f>IF(4=1,$R11,0)</f>
        <v/>
      </c>
      <c r="DC11" s="45">
        <f>IF(5=1,$R11,0)</f>
        <v/>
      </c>
      <c r="DD11" s="45">
        <f>$CO11+$CT11+$CY11</f>
        <v/>
      </c>
      <c r="DE11" s="45">
        <f>$CP11+$CU11+$CZ11</f>
        <v/>
      </c>
      <c r="DF11" s="45">
        <f>$CQ11+$CV11+$DA11</f>
        <v/>
      </c>
      <c r="DG11" s="45">
        <f>$CR11+$CW11+$DB11</f>
        <v/>
      </c>
      <c r="DH11" s="45">
        <f>$CS11+$CX11+$DC11</f>
        <v/>
      </c>
      <c r="DI11" s="45">
        <f>$CY11</f>
        <v/>
      </c>
      <c r="DJ11" s="45">
        <f>$CZ11</f>
        <v/>
      </c>
      <c r="DK11" s="45">
        <f>$DA11</f>
        <v/>
      </c>
      <c r="DL11" s="45">
        <f>$DB11</f>
        <v/>
      </c>
      <c r="DM11" s="45">
        <f>$DC11</f>
        <v/>
      </c>
      <c r="DN11" s="45">
        <f>$CO11+$CT11</f>
        <v/>
      </c>
      <c r="DO11" s="45">
        <f>$CP11+$CU11</f>
        <v/>
      </c>
      <c r="DP11" s="45">
        <f>$CQ11+$CV11</f>
        <v/>
      </c>
      <c r="DQ11" s="45">
        <f>$CR11+$CW11</f>
        <v/>
      </c>
      <c r="DR11" s="45">
        <f>$CS11+$CX11</f>
        <v/>
      </c>
      <c r="DS11" s="45">
        <f>0</f>
        <v/>
      </c>
      <c r="DT11" s="45">
        <f>SUMPRODUCT($AZ11:$BD11,$DD11:$DH11)</f>
        <v/>
      </c>
      <c r="DU11" s="45">
        <f>SUM($DD11:$DF11)</f>
        <v/>
      </c>
      <c r="DV11" s="45">
        <f>SUM($DD11:$DH11)</f>
        <v/>
      </c>
      <c r="DW11" s="45">
        <f>SUMPRODUCT($AZ11:$BD11,$DI11:$DM11,$BJ11:$BN11)+SUMPRODUCT($AZ11:$BD11,$DN11:$DR11,$BO11:$BS11)-$DS11/(1+$AM11)^$AX11</f>
        <v/>
      </c>
      <c r="DX11" s="43">
        <f>IF($CE11&gt;0,ROUNDUP($CE11/$AP11,0),0)</f>
        <v/>
      </c>
      <c r="DY11" s="43">
        <f>IF($CF11&gt;0,ROUNDUP($CF11/$AP11,0),0)</f>
        <v/>
      </c>
      <c r="DZ11" s="43">
        <f>IF($CG11&gt;0,ROUNDUP($CG11/$AP11,0),0)</f>
        <v/>
      </c>
      <c r="EA11" s="43">
        <f>IF($CH11&gt;0,ROUNDUP($CH11/$AP11,0),0)</f>
        <v/>
      </c>
      <c r="EB11" s="43">
        <f>IF($CI11&gt;0,ROUNDUP($CI11/$AP11,0),0)</f>
        <v/>
      </c>
      <c r="EC11" s="43">
        <f>MAX($DX11,0)</f>
        <v/>
      </c>
      <c r="ED11" s="43">
        <f>MAX($DY11,$EC11)</f>
        <v/>
      </c>
      <c r="EE11" s="43">
        <f>MAX($DZ11,$ED11)</f>
        <v/>
      </c>
      <c r="EF11" s="43">
        <f>MAX($EA11,$EE11)</f>
        <v/>
      </c>
      <c r="EG11" s="43">
        <f>MAX($EB11,$EF11)</f>
        <v/>
      </c>
      <c r="EH11" s="43">
        <f>$EC11-0</f>
        <v/>
      </c>
      <c r="EI11" s="43">
        <f>$ED11-$EC11</f>
        <v/>
      </c>
      <c r="EJ11" s="43">
        <f>$EE11-$ED11</f>
        <v/>
      </c>
      <c r="EK11" s="43">
        <f>$EF11-$EE11</f>
        <v/>
      </c>
      <c r="EL11" s="43">
        <f>$EG11-$EF11</f>
        <v/>
      </c>
      <c r="EM11" s="43">
        <f>0</f>
        <v/>
      </c>
      <c r="EN11" s="43">
        <f>(1+$AY11=2)*$ER11</f>
        <v/>
      </c>
      <c r="EO11" s="43">
        <f>(1+$AY11=3)*$ER11+(2+$AY11=3)*$ES11</f>
        <v/>
      </c>
      <c r="EP11" s="43">
        <f>(1+$AY11=4)*$ER11+(2+$AY11=4)*$ES11+(3+$AY11=4)*$ET11</f>
        <v/>
      </c>
      <c r="EQ11" s="43">
        <f>(1+$AY11=5)*$ER11+(2+$AY11=5)*$ES11+(3+$AY11=5)*$ET11+(4+$AY11=5)*$EU11</f>
        <v/>
      </c>
      <c r="ER11" s="43">
        <f>$EH11+$EM11</f>
        <v/>
      </c>
      <c r="ES11" s="43">
        <f>$EI11+$EN11</f>
        <v/>
      </c>
      <c r="ET11" s="43">
        <f>$EJ11+$EO11</f>
        <v/>
      </c>
      <c r="EU11" s="43">
        <f>$EK11+$EP11</f>
        <v/>
      </c>
      <c r="EV11" s="43">
        <f>$EL11+$EQ11</f>
        <v/>
      </c>
      <c r="EW11" s="45">
        <f>$ER11*$V11</f>
        <v/>
      </c>
      <c r="EX11" s="45">
        <f>$ES11*$V11</f>
        <v/>
      </c>
      <c r="EY11" s="45">
        <f>$ET11*$V11</f>
        <v/>
      </c>
      <c r="EZ11" s="45">
        <f>$EU11*$V11</f>
        <v/>
      </c>
      <c r="FA11" s="45">
        <f>$EV11*$V11</f>
        <v/>
      </c>
      <c r="FB11" s="45">
        <f>$EM11*$V11*$X11</f>
        <v/>
      </c>
      <c r="FC11" s="45">
        <f>$EN11*$V11*$X11</f>
        <v/>
      </c>
      <c r="FD11" s="45">
        <f>$EO11*$V11*$X11</f>
        <v/>
      </c>
      <c r="FE11" s="45">
        <f>$EP11*$V11*$X11</f>
        <v/>
      </c>
      <c r="FF11" s="45">
        <f>$EQ11*$V11*$X11</f>
        <v/>
      </c>
      <c r="FG11" s="45">
        <f>$EC11*$V11*(1-$X11)/$AY11</f>
        <v/>
      </c>
      <c r="FH11" s="45">
        <f>$ED11*$V11*(1-$X11)/$AY11</f>
        <v/>
      </c>
      <c r="FI11" s="45">
        <f>$EE11*$V11*(1-$X11)/$AY11</f>
        <v/>
      </c>
      <c r="FJ11" s="45">
        <f>$EF11*$V11*(1-$X11)/$AY11</f>
        <v/>
      </c>
      <c r="FK11" s="45">
        <f>$EG11*$V11*(1-$X11)/$AY11</f>
        <v/>
      </c>
      <c r="FL11" s="45">
        <f>$EC11*$Y11*$Z11*$AA11*8760*$BE11</f>
        <v/>
      </c>
      <c r="FM11" s="45">
        <f>$ED11*$Y11*$Z11*$AA11*8760*$BF11</f>
        <v/>
      </c>
      <c r="FN11" s="45">
        <f>$EE11*$Y11*$Z11*$AA11*8760*$BG11</f>
        <v/>
      </c>
      <c r="FO11" s="45">
        <f>$EF11*$Y11*$Z11*$AA11*8760*$BH11</f>
        <v/>
      </c>
      <c r="FP11" s="45">
        <f>$EG11*$Y11*$Z11*$AA11*8760*$BI11</f>
        <v/>
      </c>
      <c r="FQ11" s="45">
        <f>IF($AC11&gt;0,$AC11,$EC11*$Y11*$AB11*12)*$BE11</f>
        <v/>
      </c>
      <c r="FR11" s="45">
        <f>IF($AC11&gt;0,$AC11,$ED11*$Y11*$AB11*12)*$BF11</f>
        <v/>
      </c>
      <c r="FS11" s="45">
        <f>IF($AC11&gt;0,$AC11,$EE11*$Y11*$AB11*12)*$BG11</f>
        <v/>
      </c>
      <c r="FT11" s="45">
        <f>IF($AC11&gt;0,$AC11,$EF11*$Y11*$AB11*12)*$BH11</f>
        <v/>
      </c>
      <c r="FU11" s="45">
        <f>IF($AC11&gt;0,$AC11,$EG11*$Y11*$AB11*12)*$BI11</f>
        <v/>
      </c>
      <c r="FV11" s="45">
        <f>$EC11*$V11*$AD11*$BE11</f>
        <v/>
      </c>
      <c r="FW11" s="45">
        <f>$ED11*$V11*$AD11*$BF11</f>
        <v/>
      </c>
      <c r="FX11" s="45">
        <f>$EE11*$V11*$AD11*$BG11</f>
        <v/>
      </c>
      <c r="FY11" s="45">
        <f>$EF11*$V11*$AD11*$BH11</f>
        <v/>
      </c>
      <c r="FZ11" s="45">
        <f>$EG11*$V11*$AD11*$BI11</f>
        <v/>
      </c>
      <c r="GA11" s="45">
        <f>$AE11*$BE11</f>
        <v/>
      </c>
      <c r="GB11" s="45">
        <f>$AE11*$BF11</f>
        <v/>
      </c>
      <c r="GC11" s="45">
        <f>$AE11*$BG11</f>
        <v/>
      </c>
      <c r="GD11" s="45">
        <f>$AE11*$BH11</f>
        <v/>
      </c>
      <c r="GE11" s="45">
        <f>$AE11*$BI11</f>
        <v/>
      </c>
      <c r="GF11" s="45">
        <f>$AF11*$AG11*$BE11</f>
        <v/>
      </c>
      <c r="GG11" s="45">
        <f>$AF11*$AG11*$BF11</f>
        <v/>
      </c>
      <c r="GH11" s="45">
        <f>$AF11*$AG11*$BG11</f>
        <v/>
      </c>
      <c r="GI11" s="45">
        <f>$AF11*$AG11*$BH11</f>
        <v/>
      </c>
      <c r="GJ11" s="45">
        <f>$AF11*$AG11*$BI11</f>
        <v/>
      </c>
      <c r="GK11" s="45">
        <f>IF(1=1,$AH11,0)</f>
        <v/>
      </c>
      <c r="GL11" s="45">
        <f>IF(2=1,$AH11,0)</f>
        <v/>
      </c>
      <c r="GM11" s="45">
        <f>IF(3=1,$AH11,0)</f>
        <v/>
      </c>
      <c r="GN11" s="45">
        <f>IF(4=1,$AH11,0)</f>
        <v/>
      </c>
      <c r="GO11" s="45">
        <f>IF(5=1,$AH11,0)</f>
        <v/>
      </c>
      <c r="GP11" s="45">
        <f>$FG11+$FL11+$FQ11+$FV11+$GA11+$GF11+$GK11</f>
        <v/>
      </c>
      <c r="GQ11" s="45">
        <f>$FH11+$FM11+$FR11+$FW11+$GB11+$GG11+$GL11</f>
        <v/>
      </c>
      <c r="GR11" s="45">
        <f>$FI11+$FN11+$FS11+$FX11+$GC11+$GH11+$GM11</f>
        <v/>
      </c>
      <c r="GS11" s="45">
        <f>$FJ11+$FO11+$FT11+$FY11+$GD11+$GI11+$GN11</f>
        <v/>
      </c>
      <c r="GT11" s="45">
        <f>$FK11+$FP11+$FU11+$FZ11+$GE11+$GJ11+$GO11</f>
        <v/>
      </c>
      <c r="GU11" s="45">
        <f>$EW11-$FB11+$GK11</f>
        <v/>
      </c>
      <c r="GV11" s="45">
        <f>$EX11-$FC11+$GL11</f>
        <v/>
      </c>
      <c r="GW11" s="45">
        <f>$EY11-$FD11+$GM11</f>
        <v/>
      </c>
      <c r="GX11" s="45">
        <f>$EZ11-$FE11+$GN11</f>
        <v/>
      </c>
      <c r="GY11" s="45">
        <f>$FA11-$FF11+$GO11</f>
        <v/>
      </c>
      <c r="GZ11" s="45">
        <f>$FL11+$FQ11+$FV11+$GA11+$GF11</f>
        <v/>
      </c>
      <c r="HA11" s="45">
        <f>$FM11+$FR11+$FW11+$GB11+$GG11</f>
        <v/>
      </c>
      <c r="HB11" s="45">
        <f>$FN11+$FS11+$FX11+$GC11+$GH11</f>
        <v/>
      </c>
      <c r="HC11" s="45">
        <f>$FO11+$FT11+$FY11+$GD11+$GI11</f>
        <v/>
      </c>
      <c r="HD11" s="45">
        <f>$FP11+$FU11+$FZ11+$GE11+$GJ11</f>
        <v/>
      </c>
      <c r="HE11" s="45">
        <f>((1&lt;=$AX11)*(1&gt;$AX11-$AY11))*$ER11*$V11*MAX(0,1-(1-$X11)*($AX11-1+1)/$AY11)+((2&lt;=$AX11)*(2&gt;$AX11-$AY11))*$ES11*$V11*MAX(0,1-(1-$X11)*($AX11-2+1)/$AY11)+((3&lt;=$AX11)*(3&gt;$AX11-$AY11))*$ET11*$V11*MAX(0,1-(1-$X11)*($AX11-3+1)/$AY11)+((4&lt;=$AX11)*(4&gt;$AX11-$AY11))*$EU11*$V11*MAX(0,1-(1-$X11)*($AX11-4+1)/$AY11)+((5&lt;=$AX11)*(5&gt;$AX11-$AY11))*$EV11*$V11*MAX(0,1-(1-$X11)*($AX11-5+1)/$AY11)</f>
        <v/>
      </c>
      <c r="HF11" s="45">
        <f>SUMPRODUCT($AZ11:$BD11,$GP11:$GT11)</f>
        <v/>
      </c>
      <c r="HG11" s="45">
        <f>SUM($GP11:$GR11)</f>
        <v/>
      </c>
      <c r="HH11" s="45">
        <f>SUM($GP11:$GT11)</f>
        <v/>
      </c>
      <c r="HI11" s="45">
        <f>SUMPRODUCT($AZ11:$BD11,$GU11:$GY11,$BJ11:$BN11)+SUMPRODUCT($AZ11:$BD11,$GZ11:$HD11,$BO11:$BS11)-$HE11/(1+$AM11)^$AX11</f>
        <v/>
      </c>
      <c r="HJ11" s="46">
        <f>MIN(1,MAX(0,IF(ISNUMBER($AJ11),$AJ11,IF($F11+$G11+$H11&gt;0,($G11+$H11)/($F11+$G11+$H11),0))*$AR11))</f>
        <v/>
      </c>
      <c r="HK11" s="25">
        <f>IF($HJ11&gt;0,1,0)</f>
        <v/>
      </c>
      <c r="HL11" s="25">
        <f>IF($HJ11&lt;1,1,0)</f>
        <v/>
      </c>
      <c r="HM11" s="43">
        <f>IF($CE11*$HJ11&gt;0,ROUNDUP($CE11*$HJ11/$AP11,0),0)</f>
        <v/>
      </c>
      <c r="HN11" s="43">
        <f>IF($CF11*$HJ11&gt;0,ROUNDUP($CF11*$HJ11/$AP11,0),0)</f>
        <v/>
      </c>
      <c r="HO11" s="43">
        <f>IF($CG11*$HJ11&gt;0,ROUNDUP($CG11*$HJ11/$AP11,0),0)</f>
        <v/>
      </c>
      <c r="HP11" s="43">
        <f>IF($CH11*$HJ11&gt;0,ROUNDUP($CH11*$HJ11/$AP11,0),0)</f>
        <v/>
      </c>
      <c r="HQ11" s="43">
        <f>IF($CI11*$HJ11&gt;0,ROUNDUP($CI11*$HJ11/$AP11,0),0)</f>
        <v/>
      </c>
      <c r="HR11" s="43">
        <f>MAX($HM11,0)</f>
        <v/>
      </c>
      <c r="HS11" s="43">
        <f>MAX($HN11,$HR11)</f>
        <v/>
      </c>
      <c r="HT11" s="43">
        <f>MAX($HO11,$HS11)</f>
        <v/>
      </c>
      <c r="HU11" s="43">
        <f>MAX($HP11,$HT11)</f>
        <v/>
      </c>
      <c r="HV11" s="43">
        <f>MAX($HQ11,$HU11)</f>
        <v/>
      </c>
      <c r="HW11" s="43">
        <f>$HR11-0</f>
        <v/>
      </c>
      <c r="HX11" s="43">
        <f>$HS11-$HR11</f>
        <v/>
      </c>
      <c r="HY11" s="43">
        <f>$HT11-$HS11</f>
        <v/>
      </c>
      <c r="HZ11" s="43">
        <f>$HU11-$HT11</f>
        <v/>
      </c>
      <c r="IA11" s="43">
        <f>$HV11-$HU11</f>
        <v/>
      </c>
      <c r="IB11" s="43">
        <f>0</f>
        <v/>
      </c>
      <c r="IC11" s="43">
        <f>(1+$AY11=2)*$IG11</f>
        <v/>
      </c>
      <c r="ID11" s="43">
        <f>(1+$AY11=3)*$IG11+(2+$AY11=3)*$IH11</f>
        <v/>
      </c>
      <c r="IE11" s="43">
        <f>(1+$AY11=4)*$IG11+(2+$AY11=4)*$IH11+(3+$AY11=4)*$II11</f>
        <v/>
      </c>
      <c r="IF11" s="43">
        <f>(1+$AY11=5)*$IG11+(2+$AY11=5)*$IH11+(3+$AY11=5)*$II11+(4+$AY11=5)*$IJ11</f>
        <v/>
      </c>
      <c r="IG11" s="43">
        <f>$HW11+$IB11</f>
        <v/>
      </c>
      <c r="IH11" s="43">
        <f>$HX11+$IC11</f>
        <v/>
      </c>
      <c r="II11" s="43">
        <f>$HY11+$ID11</f>
        <v/>
      </c>
      <c r="IJ11" s="43">
        <f>$HZ11+$IE11</f>
        <v/>
      </c>
      <c r="IK11" s="43">
        <f>$IA11+$IF11</f>
        <v/>
      </c>
      <c r="IL11" s="45">
        <f>$IG11*$V11</f>
        <v/>
      </c>
      <c r="IM11" s="45">
        <f>$IH11*$V11</f>
        <v/>
      </c>
      <c r="IN11" s="45">
        <f>$II11*$V11</f>
        <v/>
      </c>
      <c r="IO11" s="45">
        <f>$IJ11*$V11</f>
        <v/>
      </c>
      <c r="IP11" s="45">
        <f>$IK11*$V11</f>
        <v/>
      </c>
      <c r="IQ11" s="45">
        <f>$IB11*$V11*$X11</f>
        <v/>
      </c>
      <c r="IR11" s="45">
        <f>$IC11*$V11*$X11</f>
        <v/>
      </c>
      <c r="IS11" s="45">
        <f>$ID11*$V11*$X11</f>
        <v/>
      </c>
      <c r="IT11" s="45">
        <f>$IE11*$V11*$X11</f>
        <v/>
      </c>
      <c r="IU11" s="45">
        <f>$IF11*$V11*$X11</f>
        <v/>
      </c>
      <c r="IV11" s="45">
        <f>$HR11*$V11*(1-$X11)/$AY11</f>
        <v/>
      </c>
      <c r="IW11" s="45">
        <f>$HS11*$V11*(1-$X11)/$AY11</f>
        <v/>
      </c>
      <c r="IX11" s="45">
        <f>$HT11*$V11*(1-$X11)/$AY11</f>
        <v/>
      </c>
      <c r="IY11" s="45">
        <f>$HU11*$V11*(1-$X11)/$AY11</f>
        <v/>
      </c>
      <c r="IZ11" s="45">
        <f>$HV11*$V11*(1-$X11)/$AY11</f>
        <v/>
      </c>
      <c r="JA11" s="45">
        <f>$HR11*$Y11*$Z11*$AA11*8760*$BE11</f>
        <v/>
      </c>
      <c r="JB11" s="45">
        <f>$HS11*$Y11*$Z11*$AA11*8760*$BF11</f>
        <v/>
      </c>
      <c r="JC11" s="45">
        <f>$HT11*$Y11*$Z11*$AA11*8760*$BG11</f>
        <v/>
      </c>
      <c r="JD11" s="45">
        <f>$HU11*$Y11*$Z11*$AA11*8760*$BH11</f>
        <v/>
      </c>
      <c r="JE11" s="45">
        <f>$HV11*$Y11*$Z11*$AA11*8760*$BI11</f>
        <v/>
      </c>
      <c r="JF11" s="45">
        <f>IF($AC11&gt;0,$AC11*$HK11,$HR11*$Y11*$AB11*12)*$BE11</f>
        <v/>
      </c>
      <c r="JG11" s="45">
        <f>IF($AC11&gt;0,$AC11*$HK11,$HS11*$Y11*$AB11*12)*$BF11</f>
        <v/>
      </c>
      <c r="JH11" s="45">
        <f>IF($AC11&gt;0,$AC11*$HK11,$HT11*$Y11*$AB11*12)*$BG11</f>
        <v/>
      </c>
      <c r="JI11" s="45">
        <f>IF($AC11&gt;0,$AC11*$HK11,$HU11*$Y11*$AB11*12)*$BH11</f>
        <v/>
      </c>
      <c r="JJ11" s="45">
        <f>IF($AC11&gt;0,$AC11*$HK11,$HV11*$Y11*$AB11*12)*$BI11</f>
        <v/>
      </c>
      <c r="JK11" s="45">
        <f>$HR11*$V11*$AD11*$BE11</f>
        <v/>
      </c>
      <c r="JL11" s="45">
        <f>$HS11*$V11*$AD11*$BF11</f>
        <v/>
      </c>
      <c r="JM11" s="45">
        <f>$HT11*$V11*$AD11*$BG11</f>
        <v/>
      </c>
      <c r="JN11" s="45">
        <f>$HU11*$V11*$AD11*$BH11</f>
        <v/>
      </c>
      <c r="JO11" s="45">
        <f>$HV11*$V11*$AD11*$BI11</f>
        <v/>
      </c>
      <c r="JP11" s="45">
        <f>$AE11*$BE11*$HK11</f>
        <v/>
      </c>
      <c r="JQ11" s="45">
        <f>$AE11*$BF11*$HK11</f>
        <v/>
      </c>
      <c r="JR11" s="45">
        <f>$AE11*$BG11*$HK11</f>
        <v/>
      </c>
      <c r="JS11" s="45">
        <f>$AE11*$BH11*$HK11</f>
        <v/>
      </c>
      <c r="JT11" s="45">
        <f>$AE11*$BI11*$HK11</f>
        <v/>
      </c>
      <c r="JU11" s="45">
        <f>$AQ11*$AG11*$BE11*$HK11</f>
        <v/>
      </c>
      <c r="JV11" s="45">
        <f>$AQ11*$AG11*$BF11*$HK11</f>
        <v/>
      </c>
      <c r="JW11" s="45">
        <f>$AQ11*$AG11*$BG11*$HK11</f>
        <v/>
      </c>
      <c r="JX11" s="45">
        <f>$AQ11*$AG11*$BH11*$HK11</f>
        <v/>
      </c>
      <c r="JY11" s="45">
        <f>$AQ11*$AG11*$BI11*$HK11</f>
        <v/>
      </c>
      <c r="JZ11" s="45">
        <f>$BU11*(1-$HJ11)/1000000*$CJ11</f>
        <v/>
      </c>
      <c r="KA11" s="45">
        <f>$BV11*(1-$HJ11)/1000000*$CK11</f>
        <v/>
      </c>
      <c r="KB11" s="45">
        <f>$BW11*(1-$HJ11)/1000000*$CL11</f>
        <v/>
      </c>
      <c r="KC11" s="45">
        <f>$BX11*(1-$HJ11)/1000000*$CM11</f>
        <v/>
      </c>
      <c r="KD11" s="45">
        <f>$BY11*(1-$HJ11)/1000000*$CN11</f>
        <v/>
      </c>
      <c r="KE11" s="45">
        <f>$CT11*$HL11</f>
        <v/>
      </c>
      <c r="KF11" s="45">
        <f>$CU11*$HL11</f>
        <v/>
      </c>
      <c r="KG11" s="45">
        <f>$CV11*$HL11</f>
        <v/>
      </c>
      <c r="KH11" s="45">
        <f>$CW11*$HL11</f>
        <v/>
      </c>
      <c r="KI11" s="45">
        <f>$CX11*$HL11</f>
        <v/>
      </c>
      <c r="KJ11" s="45">
        <f>IF(1=1,$R11*$HL11+$AH11*$HK11+$AK11,0)</f>
        <v/>
      </c>
      <c r="KK11" s="45">
        <f>IF(2=1,$R11*$HL11+$AH11*$HK11+$AK11,0)</f>
        <v/>
      </c>
      <c r="KL11" s="45">
        <f>IF(3=1,$R11*$HL11+$AH11*$HK11+$AK11,0)</f>
        <v/>
      </c>
      <c r="KM11" s="45">
        <f>IF(4=1,$R11*$HL11+$AH11*$HK11+$AK11,0)</f>
        <v/>
      </c>
      <c r="KN11" s="45">
        <f>IF(5=1,$R11*$HL11+$AH11*$HK11+$AK11,0)</f>
        <v/>
      </c>
      <c r="KO11" s="45">
        <f>$IV11+$JA11+$JF11+$JK11+$JP11+$JU11+$JZ11+$KE11+$KJ11</f>
        <v/>
      </c>
      <c r="KP11" s="45">
        <f>$IW11+$JB11+$JG11+$JL11+$JQ11+$JV11+$KA11+$KF11+$KK11</f>
        <v/>
      </c>
      <c r="KQ11" s="45">
        <f>$IX11+$JC11+$JH11+$JM11+$JR11+$JW11+$KB11+$KG11+$KL11</f>
        <v/>
      </c>
      <c r="KR11" s="45">
        <f>$IY11+$JD11+$JI11+$JN11+$JS11+$JX11+$KC11+$KH11+$KM11</f>
        <v/>
      </c>
      <c r="KS11" s="45">
        <f>$IZ11+$JE11+$JJ11+$JO11+$JT11+$JY11+$KD11+$KI11+$KN11</f>
        <v/>
      </c>
      <c r="KT11" s="45">
        <f>$IL11-$IQ11+$KJ11</f>
        <v/>
      </c>
      <c r="KU11" s="45">
        <f>$IM11-$IR11+$KK11</f>
        <v/>
      </c>
      <c r="KV11" s="45">
        <f>$IN11-$IS11+$KL11</f>
        <v/>
      </c>
      <c r="KW11" s="45">
        <f>$IO11-$IT11+$KM11</f>
        <v/>
      </c>
      <c r="KX11" s="45">
        <f>$IP11-$IU11+$KN11</f>
        <v/>
      </c>
      <c r="KY11" s="45">
        <f>$JA11+$JF11+$JK11+$JP11+$JU11+$JZ11+$KE11</f>
        <v/>
      </c>
      <c r="KZ11" s="45">
        <f>$JB11+$JG11+$JL11+$JQ11+$JV11+$KA11+$KF11</f>
        <v/>
      </c>
      <c r="LA11" s="45">
        <f>$JC11+$JH11+$JM11+$JR11+$JW11+$KB11+$KG11</f>
        <v/>
      </c>
      <c r="LB11" s="45">
        <f>$JD11+$JI11+$JN11+$JS11+$JX11+$KC11+$KH11</f>
        <v/>
      </c>
      <c r="LC11" s="45">
        <f>$JE11+$JJ11+$JO11+$JT11+$JY11+$KD11+$KI11</f>
        <v/>
      </c>
      <c r="LD11" s="45">
        <f>((1&lt;=$AX11)*(1&gt;$AX11-$AY11))*$IG11*$V11*MAX(0,1-(1-$X11)*($AX11-1+1)/$AY11)+((2&lt;=$AX11)*(2&gt;$AX11-$AY11))*$IH11*$V11*MAX(0,1-(1-$X11)*($AX11-2+1)/$AY11)+((3&lt;=$AX11)*(3&gt;$AX11-$AY11))*$II11*$V11*MAX(0,1-(1-$X11)*($AX11-3+1)/$AY11)+((4&lt;=$AX11)*(4&gt;$AX11-$AY11))*$IJ11*$V11*MAX(0,1-(1-$X11)*($AX11-4+1)/$AY11)+((5&lt;=$AX11)*(5&gt;$AX11-$AY11))*$IK11*$V11*MAX(0,1-(1-$X11)*($AX11-5+1)/$AY11)</f>
        <v/>
      </c>
      <c r="LE11" s="45">
        <f>SUMPRODUCT($AZ11:$BD11,$KO11:$KS11)</f>
        <v/>
      </c>
      <c r="LF11" s="45">
        <f>SUM($KO11:$KQ11)</f>
        <v/>
      </c>
      <c r="LG11" s="45">
        <f>SUM($KO11:$KS11)</f>
        <v/>
      </c>
      <c r="LH11" s="45">
        <f>SUMPRODUCT($AZ11:$BD11,$KT11:$KX11,$BJ11:$BN11)+SUMPRODUCT($AZ11:$BD11,$KY11:$LC11,$BO11:$BS11)-$LD11/(1+$AM11)^$AX11</f>
        <v/>
      </c>
      <c r="LI11" s="43">
        <f>$BU11/1000000</f>
        <v/>
      </c>
      <c r="LJ11" s="44">
        <f>IF($LI11&gt;0,$DD11/$LI11,0)</f>
        <v/>
      </c>
      <c r="LK11" s="44">
        <f>IF($LI11&gt;0,$GP11/$LI11,0)</f>
        <v/>
      </c>
      <c r="LL11" s="44">
        <f>IF($LI11&gt;0,$KO11/$LI11,0)</f>
        <v/>
      </c>
      <c r="LM11" s="43">
        <f>$AP11*31536000/1000000</f>
        <v/>
      </c>
      <c r="LN11" s="43">
        <f>$EC11*$LM11</f>
        <v/>
      </c>
      <c r="LO11" s="45">
        <f>$FG11+$FL11+$FQ11+$FV11+$GA11+$GF11</f>
        <v/>
      </c>
      <c r="LP11" s="46">
        <f>IF($LN11*$CJ11&gt;0,MAX(0,($LO11-$CT11)/($LN11*$CJ11)),0)</f>
        <v/>
      </c>
      <c r="LQ11" s="46">
        <f>IF($LN11&gt;0,$LI11/$LN11,0)</f>
        <v/>
      </c>
      <c r="LR11" s="46">
        <f>1/($M11*$AI11)</f>
        <v/>
      </c>
      <c r="LS11" s="43">
        <f>$HR11*$LM11</f>
        <v/>
      </c>
      <c r="LT11" s="45">
        <f>$IV11+$JA11+$JF11+$JK11+$JP11+$JU11</f>
        <v/>
      </c>
      <c r="LU11" s="46">
        <f>IF($LS11*$CJ11&gt;0,$LT11/($LS11*$CJ11),0)</f>
        <v/>
      </c>
      <c r="LV11" s="46">
        <f>IF($LS11&gt;0,$LI11*$HJ11/$LS11,0)</f>
        <v/>
      </c>
      <c r="LW11" s="45">
        <f>$V11*(1-$X11)/$AY11+$Y11*$Z11*$AA11*8760+IF($AC11&gt;0,0,$Y11*$AB11*12)+$V11*$AD11</f>
        <v/>
      </c>
      <c r="LX11" s="46">
        <f>IF($LM11*$CJ11&gt;0,$LW11/($LM11*$CJ11),0)</f>
        <v/>
      </c>
      <c r="LY11" s="44">
        <f>IF($LM11*$LR11&gt;0,$LW11/($LM11*$LR11),0)</f>
        <v/>
      </c>
      <c r="LZ11" s="45">
        <f>$AE11+$AF11*$AG11+IF($AC11&gt;0,$AC11,0)-$CT11</f>
        <v/>
      </c>
      <c r="MA11" s="43">
        <f>IF($CJ11&gt;$LY11,MAX(0,$LZ11)/($CJ11-$LY11)*1000000,"Not reachable")</f>
        <v/>
      </c>
      <c r="MB11" s="47">
        <f>IF(AND(ISNUMBER($MA11),$BU11&gt;0),$MA11/$BU11,"n/a")</f>
        <v/>
      </c>
      <c r="MC11" s="47">
        <f>$B11*MAX(0,$D11-1)*$E11</f>
        <v/>
      </c>
      <c r="MD11" s="45">
        <f>$MC11*$C11</f>
        <v/>
      </c>
      <c r="ME11" s="45">
        <f>$MD11*SUMPRODUCT($AZ11:$BD11,$BO11:$BS11)</f>
        <v/>
      </c>
      <c r="MF11" s="45">
        <f>IF($AO11="Yes",$ME11-$DW11,0)</f>
        <v/>
      </c>
      <c r="MG11" s="45">
        <f>IF($AO11="Yes",$ME11-$HI11,0)</f>
        <v/>
      </c>
      <c r="MH11" s="45">
        <f>IF($AO11="Yes",$ME11-$LH11,0)</f>
        <v/>
      </c>
      <c r="MI11" s="45">
        <f>IF($AO11="Yes",$MD11-$DD11,0)</f>
        <v/>
      </c>
      <c r="MJ11" s="25">
        <f>IF(AND($DW11&lt;=$HI11,$DW11&lt;=$LH11),"Rent the Frontier",IF($HI11&lt;=$LH11,"Own the Frontier","Hybrid"))</f>
        <v/>
      </c>
      <c r="MK11" s="25">
        <f>IF(AND($DT11&lt;=$HF11,$DT11&lt;=$LE11),"Rent the Frontier",IF($HF11&lt;=$LE11,"Own the Frontier","Hybrid"))</f>
        <v/>
      </c>
    </row>
    <row r="12">
      <c r="A12" s="25">
        <f>Sensitivity!A15&amp;" ("&amp;Sensitivity!C15&amp;")"</f>
        <v/>
      </c>
      <c r="B12" s="25">
        <f>Inputs!$B$5</f>
        <v/>
      </c>
      <c r="C12" s="25">
        <f>Inputs!$B$6</f>
        <v/>
      </c>
      <c r="D12" s="25">
        <f>Inputs!$B$7</f>
        <v/>
      </c>
      <c r="E12" s="25">
        <f>Inputs!$B$8</f>
        <v/>
      </c>
      <c r="F12" s="25">
        <f>Inputs!$B$12</f>
        <v/>
      </c>
      <c r="G12" s="25">
        <f>Inputs!$B$13</f>
        <v/>
      </c>
      <c r="H12" s="25">
        <f>Inputs!$B$14</f>
        <v/>
      </c>
      <c r="I12" s="25">
        <f>Inputs!$B$18</f>
        <v/>
      </c>
      <c r="J12" s="25">
        <f>Inputs!$B$19</f>
        <v/>
      </c>
      <c r="K12" s="25">
        <f>Inputs!$B$20</f>
        <v/>
      </c>
      <c r="L12" s="25">
        <f>Inputs!$B$21</f>
        <v/>
      </c>
      <c r="M12" s="25">
        <f>Inputs!$B$22</f>
        <v/>
      </c>
      <c r="N12" s="25">
        <f>Inputs!$B$23</f>
        <v/>
      </c>
      <c r="O12" s="25">
        <f>Inputs!$B$26</f>
        <v/>
      </c>
      <c r="P12" s="25">
        <f>Inputs!$B$27</f>
        <v/>
      </c>
      <c r="Q12" s="25">
        <f>Inputs!$B$28</f>
        <v/>
      </c>
      <c r="R12" s="25">
        <f>Inputs!$B$29</f>
        <v/>
      </c>
      <c r="S12" s="25">
        <f>Inputs!$B$30</f>
        <v/>
      </c>
      <c r="T12" s="25">
        <f>Inputs!$B$31</f>
        <v/>
      </c>
      <c r="U12" s="25">
        <f>Inputs!$B$32</f>
        <v/>
      </c>
      <c r="V12" s="25">
        <f>Inputs!$B$35*Sensitivity!$D$15</f>
        <v/>
      </c>
      <c r="W12" s="25">
        <f>Inputs!$B$36</f>
        <v/>
      </c>
      <c r="X12" s="25">
        <f>Inputs!$B$37</f>
        <v/>
      </c>
      <c r="Y12" s="25">
        <f>Inputs!$B$38</f>
        <v/>
      </c>
      <c r="Z12" s="25">
        <f>Inputs!$B$39</f>
        <v/>
      </c>
      <c r="AA12" s="25">
        <f>Inputs!$B$40</f>
        <v/>
      </c>
      <c r="AB12" s="25">
        <f>Inputs!$B$41</f>
        <v/>
      </c>
      <c r="AC12" s="25">
        <f>Inputs!$B$42</f>
        <v/>
      </c>
      <c r="AD12" s="25">
        <f>Inputs!$B$43</f>
        <v/>
      </c>
      <c r="AE12" s="25">
        <f>Inputs!$B$44</f>
        <v/>
      </c>
      <c r="AF12" s="25">
        <f>Inputs!$B$45</f>
        <v/>
      </c>
      <c r="AG12" s="25">
        <f>Inputs!$B$46</f>
        <v/>
      </c>
      <c r="AH12" s="25">
        <f>Inputs!$B$47</f>
        <v/>
      </c>
      <c r="AI12" s="25">
        <f>Inputs!$B$48</f>
        <v/>
      </c>
      <c r="AJ12" s="25">
        <f>IF(ISNUMBER(Inputs!$B$51),Inputs!$B$51,"")</f>
        <v/>
      </c>
      <c r="AK12" s="25">
        <f>Inputs!$B$52</f>
        <v/>
      </c>
      <c r="AL12" s="25">
        <f>Inputs!$B$55</f>
        <v/>
      </c>
      <c r="AM12" s="25">
        <f>Inputs!$B$56</f>
        <v/>
      </c>
      <c r="AN12" s="25">
        <f>Inputs!$B$57</f>
        <v/>
      </c>
      <c r="AO12" s="25">
        <f>Inputs!$B$58</f>
        <v/>
      </c>
      <c r="AP12" s="25">
        <f>Inputs!$B$61</f>
        <v/>
      </c>
      <c r="AQ12" s="25">
        <f>Inputs!$B$62</f>
        <v/>
      </c>
      <c r="AR12" s="25">
        <f>1</f>
        <v/>
      </c>
      <c r="AS12" s="25" t="n">
        <v>1</v>
      </c>
      <c r="AT12" s="25" t="n">
        <v>2</v>
      </c>
      <c r="AU12" s="25" t="n">
        <v>3</v>
      </c>
      <c r="AV12" s="25" t="n">
        <v>4</v>
      </c>
      <c r="AW12" s="25" t="n">
        <v>5</v>
      </c>
      <c r="AX12" s="25">
        <f>MIN(5,MAX(1,ROUND($AL12,0)))</f>
        <v/>
      </c>
      <c r="AY12" s="25">
        <f>MAX(1,ROUND($W12,0))</f>
        <v/>
      </c>
      <c r="AZ12" s="25">
        <f>IF(1&lt;=$AX12,1,0)</f>
        <v/>
      </c>
      <c r="BA12" s="25">
        <f>IF(2&lt;=$AX12,1,0)</f>
        <v/>
      </c>
      <c r="BB12" s="25">
        <f>IF(3&lt;=$AX12,1,0)</f>
        <v/>
      </c>
      <c r="BC12" s="25">
        <f>IF(4&lt;=$AX12,1,0)</f>
        <v/>
      </c>
      <c r="BD12" s="25">
        <f>IF(5&lt;=$AX12,1,0)</f>
        <v/>
      </c>
      <c r="BE12" s="52">
        <f>(1+$AN12)^(1-1)</f>
        <v/>
      </c>
      <c r="BF12" s="52">
        <f>(1+$AN12)^(2-1)</f>
        <v/>
      </c>
      <c r="BG12" s="52">
        <f>(1+$AN12)^(3-1)</f>
        <v/>
      </c>
      <c r="BH12" s="52">
        <f>(1+$AN12)^(4-1)</f>
        <v/>
      </c>
      <c r="BI12" s="52">
        <f>(1+$AN12)^(5-1)</f>
        <v/>
      </c>
      <c r="BJ12" s="53">
        <f>1/(1+$AM12)^(1-1)</f>
        <v/>
      </c>
      <c r="BK12" s="53">
        <f>1/(1+$AM12)^(2-1)</f>
        <v/>
      </c>
      <c r="BL12" s="53">
        <f>1/(1+$AM12)^(3-1)</f>
        <v/>
      </c>
      <c r="BM12" s="53">
        <f>1/(1+$AM12)^(4-1)</f>
        <v/>
      </c>
      <c r="BN12" s="53">
        <f>1/(1+$AM12)^(5-1)</f>
        <v/>
      </c>
      <c r="BO12" s="53">
        <f>1/(1+$AM12)^1</f>
        <v/>
      </c>
      <c r="BP12" s="53">
        <f>1/(1+$AM12)^2</f>
        <v/>
      </c>
      <c r="BQ12" s="53">
        <f>1/(1+$AM12)^3</f>
        <v/>
      </c>
      <c r="BR12" s="53">
        <f>1/(1+$AM12)^4</f>
        <v/>
      </c>
      <c r="BS12" s="53">
        <f>1/(1+$AM12)^5</f>
        <v/>
      </c>
      <c r="BT12" s="43">
        <f>IF(AND($I12="Direct monthly estimate",$J12&gt;0),$J12,$D12*$K12*$L12)</f>
        <v/>
      </c>
      <c r="BU12" s="43">
        <f>$BT12*$B12*12*(1+$N12)^(1-1)</f>
        <v/>
      </c>
      <c r="BV12" s="43">
        <f>$BT12*$B12*12*(1+$N12)^(2-1)</f>
        <v/>
      </c>
      <c r="BW12" s="43">
        <f>$BT12*$B12*12*(1+$N12)^(3-1)</f>
        <v/>
      </c>
      <c r="BX12" s="43">
        <f>$BT12*$B12*12*(1+$N12)^(4-1)</f>
        <v/>
      </c>
      <c r="BY12" s="43">
        <f>$BT12*$B12*12*(1+$N12)^(5-1)</f>
        <v/>
      </c>
      <c r="BZ12" s="43">
        <f>$BU12/31536000*$M12</f>
        <v/>
      </c>
      <c r="CA12" s="43">
        <f>$BV12/31536000*$M12</f>
        <v/>
      </c>
      <c r="CB12" s="43">
        <f>$BW12/31536000*$M12</f>
        <v/>
      </c>
      <c r="CC12" s="43">
        <f>$BX12/31536000*$M12</f>
        <v/>
      </c>
      <c r="CD12" s="43">
        <f>$BY12/31536000*$M12</f>
        <v/>
      </c>
      <c r="CE12" s="43">
        <f>$BZ12*$AI12</f>
        <v/>
      </c>
      <c r="CF12" s="43">
        <f>$CA12*$AI12</f>
        <v/>
      </c>
      <c r="CG12" s="43">
        <f>$CB12*$AI12</f>
        <v/>
      </c>
      <c r="CH12" s="43">
        <f>$CC12*$AI12</f>
        <v/>
      </c>
      <c r="CI12" s="43">
        <f>$CD12*$AI12</f>
        <v/>
      </c>
      <c r="CJ12" s="44">
        <f>$O12*(1-$Q12)*(1-$P12)^(1-1)</f>
        <v/>
      </c>
      <c r="CK12" s="44">
        <f>$O12*(1-$Q12)*(1-$P12)^(2-1)</f>
        <v/>
      </c>
      <c r="CL12" s="44">
        <f>$O12*(1-$Q12)*(1-$P12)^(3-1)</f>
        <v/>
      </c>
      <c r="CM12" s="44">
        <f>$O12*(1-$Q12)*(1-$P12)^(4-1)</f>
        <v/>
      </c>
      <c r="CN12" s="44">
        <f>$O12*(1-$Q12)*(1-$P12)^(5-1)</f>
        <v/>
      </c>
      <c r="CO12" s="45">
        <f>$BU12/1000000*$CJ12</f>
        <v/>
      </c>
      <c r="CP12" s="45">
        <f>$BV12/1000000*$CK12</f>
        <v/>
      </c>
      <c r="CQ12" s="45">
        <f>$BW12/1000000*$CL12</f>
        <v/>
      </c>
      <c r="CR12" s="45">
        <f>$BX12/1000000*$CM12</f>
        <v/>
      </c>
      <c r="CS12" s="45">
        <f>$BY12/1000000*$CN12</f>
        <v/>
      </c>
      <c r="CT12" s="45">
        <f>($T12*$U12+$S12)*$BE12</f>
        <v/>
      </c>
      <c r="CU12" s="45">
        <f>($T12*$U12+$S12)*$BF12</f>
        <v/>
      </c>
      <c r="CV12" s="45">
        <f>($T12*$U12+$S12)*$BG12</f>
        <v/>
      </c>
      <c r="CW12" s="45">
        <f>($T12*$U12+$S12)*$BH12</f>
        <v/>
      </c>
      <c r="CX12" s="45">
        <f>($T12*$U12+$S12)*$BI12</f>
        <v/>
      </c>
      <c r="CY12" s="45">
        <f>IF(1=1,$R12,0)</f>
        <v/>
      </c>
      <c r="CZ12" s="45">
        <f>IF(2=1,$R12,0)</f>
        <v/>
      </c>
      <c r="DA12" s="45">
        <f>IF(3=1,$R12,0)</f>
        <v/>
      </c>
      <c r="DB12" s="45">
        <f>IF(4=1,$R12,0)</f>
        <v/>
      </c>
      <c r="DC12" s="45">
        <f>IF(5=1,$R12,0)</f>
        <v/>
      </c>
      <c r="DD12" s="45">
        <f>$CO12+$CT12+$CY12</f>
        <v/>
      </c>
      <c r="DE12" s="45">
        <f>$CP12+$CU12+$CZ12</f>
        <v/>
      </c>
      <c r="DF12" s="45">
        <f>$CQ12+$CV12+$DA12</f>
        <v/>
      </c>
      <c r="DG12" s="45">
        <f>$CR12+$CW12+$DB12</f>
        <v/>
      </c>
      <c r="DH12" s="45">
        <f>$CS12+$CX12+$DC12</f>
        <v/>
      </c>
      <c r="DI12" s="45">
        <f>$CY12</f>
        <v/>
      </c>
      <c r="DJ12" s="45">
        <f>$CZ12</f>
        <v/>
      </c>
      <c r="DK12" s="45">
        <f>$DA12</f>
        <v/>
      </c>
      <c r="DL12" s="45">
        <f>$DB12</f>
        <v/>
      </c>
      <c r="DM12" s="45">
        <f>$DC12</f>
        <v/>
      </c>
      <c r="DN12" s="45">
        <f>$CO12+$CT12</f>
        <v/>
      </c>
      <c r="DO12" s="45">
        <f>$CP12+$CU12</f>
        <v/>
      </c>
      <c r="DP12" s="45">
        <f>$CQ12+$CV12</f>
        <v/>
      </c>
      <c r="DQ12" s="45">
        <f>$CR12+$CW12</f>
        <v/>
      </c>
      <c r="DR12" s="45">
        <f>$CS12+$CX12</f>
        <v/>
      </c>
      <c r="DS12" s="45">
        <f>0</f>
        <v/>
      </c>
      <c r="DT12" s="45">
        <f>SUMPRODUCT($AZ12:$BD12,$DD12:$DH12)</f>
        <v/>
      </c>
      <c r="DU12" s="45">
        <f>SUM($DD12:$DF12)</f>
        <v/>
      </c>
      <c r="DV12" s="45">
        <f>SUM($DD12:$DH12)</f>
        <v/>
      </c>
      <c r="DW12" s="45">
        <f>SUMPRODUCT($AZ12:$BD12,$DI12:$DM12,$BJ12:$BN12)+SUMPRODUCT($AZ12:$BD12,$DN12:$DR12,$BO12:$BS12)-$DS12/(1+$AM12)^$AX12</f>
        <v/>
      </c>
      <c r="DX12" s="43">
        <f>IF($CE12&gt;0,ROUNDUP($CE12/$AP12,0),0)</f>
        <v/>
      </c>
      <c r="DY12" s="43">
        <f>IF($CF12&gt;0,ROUNDUP($CF12/$AP12,0),0)</f>
        <v/>
      </c>
      <c r="DZ12" s="43">
        <f>IF($CG12&gt;0,ROUNDUP($CG12/$AP12,0),0)</f>
        <v/>
      </c>
      <c r="EA12" s="43">
        <f>IF($CH12&gt;0,ROUNDUP($CH12/$AP12,0),0)</f>
        <v/>
      </c>
      <c r="EB12" s="43">
        <f>IF($CI12&gt;0,ROUNDUP($CI12/$AP12,0),0)</f>
        <v/>
      </c>
      <c r="EC12" s="43">
        <f>MAX($DX12,0)</f>
        <v/>
      </c>
      <c r="ED12" s="43">
        <f>MAX($DY12,$EC12)</f>
        <v/>
      </c>
      <c r="EE12" s="43">
        <f>MAX($DZ12,$ED12)</f>
        <v/>
      </c>
      <c r="EF12" s="43">
        <f>MAX($EA12,$EE12)</f>
        <v/>
      </c>
      <c r="EG12" s="43">
        <f>MAX($EB12,$EF12)</f>
        <v/>
      </c>
      <c r="EH12" s="43">
        <f>$EC12-0</f>
        <v/>
      </c>
      <c r="EI12" s="43">
        <f>$ED12-$EC12</f>
        <v/>
      </c>
      <c r="EJ12" s="43">
        <f>$EE12-$ED12</f>
        <v/>
      </c>
      <c r="EK12" s="43">
        <f>$EF12-$EE12</f>
        <v/>
      </c>
      <c r="EL12" s="43">
        <f>$EG12-$EF12</f>
        <v/>
      </c>
      <c r="EM12" s="43">
        <f>0</f>
        <v/>
      </c>
      <c r="EN12" s="43">
        <f>(1+$AY12=2)*$ER12</f>
        <v/>
      </c>
      <c r="EO12" s="43">
        <f>(1+$AY12=3)*$ER12+(2+$AY12=3)*$ES12</f>
        <v/>
      </c>
      <c r="EP12" s="43">
        <f>(1+$AY12=4)*$ER12+(2+$AY12=4)*$ES12+(3+$AY12=4)*$ET12</f>
        <v/>
      </c>
      <c r="EQ12" s="43">
        <f>(1+$AY12=5)*$ER12+(2+$AY12=5)*$ES12+(3+$AY12=5)*$ET12+(4+$AY12=5)*$EU12</f>
        <v/>
      </c>
      <c r="ER12" s="43">
        <f>$EH12+$EM12</f>
        <v/>
      </c>
      <c r="ES12" s="43">
        <f>$EI12+$EN12</f>
        <v/>
      </c>
      <c r="ET12" s="43">
        <f>$EJ12+$EO12</f>
        <v/>
      </c>
      <c r="EU12" s="43">
        <f>$EK12+$EP12</f>
        <v/>
      </c>
      <c r="EV12" s="43">
        <f>$EL12+$EQ12</f>
        <v/>
      </c>
      <c r="EW12" s="45">
        <f>$ER12*$V12</f>
        <v/>
      </c>
      <c r="EX12" s="45">
        <f>$ES12*$V12</f>
        <v/>
      </c>
      <c r="EY12" s="45">
        <f>$ET12*$V12</f>
        <v/>
      </c>
      <c r="EZ12" s="45">
        <f>$EU12*$V12</f>
        <v/>
      </c>
      <c r="FA12" s="45">
        <f>$EV12*$V12</f>
        <v/>
      </c>
      <c r="FB12" s="45">
        <f>$EM12*$V12*$X12</f>
        <v/>
      </c>
      <c r="FC12" s="45">
        <f>$EN12*$V12*$X12</f>
        <v/>
      </c>
      <c r="FD12" s="45">
        <f>$EO12*$V12*$X12</f>
        <v/>
      </c>
      <c r="FE12" s="45">
        <f>$EP12*$V12*$X12</f>
        <v/>
      </c>
      <c r="FF12" s="45">
        <f>$EQ12*$V12*$X12</f>
        <v/>
      </c>
      <c r="FG12" s="45">
        <f>$EC12*$V12*(1-$X12)/$AY12</f>
        <v/>
      </c>
      <c r="FH12" s="45">
        <f>$ED12*$V12*(1-$X12)/$AY12</f>
        <v/>
      </c>
      <c r="FI12" s="45">
        <f>$EE12*$V12*(1-$X12)/$AY12</f>
        <v/>
      </c>
      <c r="FJ12" s="45">
        <f>$EF12*$V12*(1-$X12)/$AY12</f>
        <v/>
      </c>
      <c r="FK12" s="45">
        <f>$EG12*$V12*(1-$X12)/$AY12</f>
        <v/>
      </c>
      <c r="FL12" s="45">
        <f>$EC12*$Y12*$Z12*$AA12*8760*$BE12</f>
        <v/>
      </c>
      <c r="FM12" s="45">
        <f>$ED12*$Y12*$Z12*$AA12*8760*$BF12</f>
        <v/>
      </c>
      <c r="FN12" s="45">
        <f>$EE12*$Y12*$Z12*$AA12*8760*$BG12</f>
        <v/>
      </c>
      <c r="FO12" s="45">
        <f>$EF12*$Y12*$Z12*$AA12*8760*$BH12</f>
        <v/>
      </c>
      <c r="FP12" s="45">
        <f>$EG12*$Y12*$Z12*$AA12*8760*$BI12</f>
        <v/>
      </c>
      <c r="FQ12" s="45">
        <f>IF($AC12&gt;0,$AC12,$EC12*$Y12*$AB12*12)*$BE12</f>
        <v/>
      </c>
      <c r="FR12" s="45">
        <f>IF($AC12&gt;0,$AC12,$ED12*$Y12*$AB12*12)*$BF12</f>
        <v/>
      </c>
      <c r="FS12" s="45">
        <f>IF($AC12&gt;0,$AC12,$EE12*$Y12*$AB12*12)*$BG12</f>
        <v/>
      </c>
      <c r="FT12" s="45">
        <f>IF($AC12&gt;0,$AC12,$EF12*$Y12*$AB12*12)*$BH12</f>
        <v/>
      </c>
      <c r="FU12" s="45">
        <f>IF($AC12&gt;0,$AC12,$EG12*$Y12*$AB12*12)*$BI12</f>
        <v/>
      </c>
      <c r="FV12" s="45">
        <f>$EC12*$V12*$AD12*$BE12</f>
        <v/>
      </c>
      <c r="FW12" s="45">
        <f>$ED12*$V12*$AD12*$BF12</f>
        <v/>
      </c>
      <c r="FX12" s="45">
        <f>$EE12*$V12*$AD12*$BG12</f>
        <v/>
      </c>
      <c r="FY12" s="45">
        <f>$EF12*$V12*$AD12*$BH12</f>
        <v/>
      </c>
      <c r="FZ12" s="45">
        <f>$EG12*$V12*$AD12*$BI12</f>
        <v/>
      </c>
      <c r="GA12" s="45">
        <f>$AE12*$BE12</f>
        <v/>
      </c>
      <c r="GB12" s="45">
        <f>$AE12*$BF12</f>
        <v/>
      </c>
      <c r="GC12" s="45">
        <f>$AE12*$BG12</f>
        <v/>
      </c>
      <c r="GD12" s="45">
        <f>$AE12*$BH12</f>
        <v/>
      </c>
      <c r="GE12" s="45">
        <f>$AE12*$BI12</f>
        <v/>
      </c>
      <c r="GF12" s="45">
        <f>$AF12*$AG12*$BE12</f>
        <v/>
      </c>
      <c r="GG12" s="45">
        <f>$AF12*$AG12*$BF12</f>
        <v/>
      </c>
      <c r="GH12" s="45">
        <f>$AF12*$AG12*$BG12</f>
        <v/>
      </c>
      <c r="GI12" s="45">
        <f>$AF12*$AG12*$BH12</f>
        <v/>
      </c>
      <c r="GJ12" s="45">
        <f>$AF12*$AG12*$BI12</f>
        <v/>
      </c>
      <c r="GK12" s="45">
        <f>IF(1=1,$AH12,0)</f>
        <v/>
      </c>
      <c r="GL12" s="45">
        <f>IF(2=1,$AH12,0)</f>
        <v/>
      </c>
      <c r="GM12" s="45">
        <f>IF(3=1,$AH12,0)</f>
        <v/>
      </c>
      <c r="GN12" s="45">
        <f>IF(4=1,$AH12,0)</f>
        <v/>
      </c>
      <c r="GO12" s="45">
        <f>IF(5=1,$AH12,0)</f>
        <v/>
      </c>
      <c r="GP12" s="45">
        <f>$FG12+$FL12+$FQ12+$FV12+$GA12+$GF12+$GK12</f>
        <v/>
      </c>
      <c r="GQ12" s="45">
        <f>$FH12+$FM12+$FR12+$FW12+$GB12+$GG12+$GL12</f>
        <v/>
      </c>
      <c r="GR12" s="45">
        <f>$FI12+$FN12+$FS12+$FX12+$GC12+$GH12+$GM12</f>
        <v/>
      </c>
      <c r="GS12" s="45">
        <f>$FJ12+$FO12+$FT12+$FY12+$GD12+$GI12+$GN12</f>
        <v/>
      </c>
      <c r="GT12" s="45">
        <f>$FK12+$FP12+$FU12+$FZ12+$GE12+$GJ12+$GO12</f>
        <v/>
      </c>
      <c r="GU12" s="45">
        <f>$EW12-$FB12+$GK12</f>
        <v/>
      </c>
      <c r="GV12" s="45">
        <f>$EX12-$FC12+$GL12</f>
        <v/>
      </c>
      <c r="GW12" s="45">
        <f>$EY12-$FD12+$GM12</f>
        <v/>
      </c>
      <c r="GX12" s="45">
        <f>$EZ12-$FE12+$GN12</f>
        <v/>
      </c>
      <c r="GY12" s="45">
        <f>$FA12-$FF12+$GO12</f>
        <v/>
      </c>
      <c r="GZ12" s="45">
        <f>$FL12+$FQ12+$FV12+$GA12+$GF12</f>
        <v/>
      </c>
      <c r="HA12" s="45">
        <f>$FM12+$FR12+$FW12+$GB12+$GG12</f>
        <v/>
      </c>
      <c r="HB12" s="45">
        <f>$FN12+$FS12+$FX12+$GC12+$GH12</f>
        <v/>
      </c>
      <c r="HC12" s="45">
        <f>$FO12+$FT12+$FY12+$GD12+$GI12</f>
        <v/>
      </c>
      <c r="HD12" s="45">
        <f>$FP12+$FU12+$FZ12+$GE12+$GJ12</f>
        <v/>
      </c>
      <c r="HE12" s="45">
        <f>((1&lt;=$AX12)*(1&gt;$AX12-$AY12))*$ER12*$V12*MAX(0,1-(1-$X12)*($AX12-1+1)/$AY12)+((2&lt;=$AX12)*(2&gt;$AX12-$AY12))*$ES12*$V12*MAX(0,1-(1-$X12)*($AX12-2+1)/$AY12)+((3&lt;=$AX12)*(3&gt;$AX12-$AY12))*$ET12*$V12*MAX(0,1-(1-$X12)*($AX12-3+1)/$AY12)+((4&lt;=$AX12)*(4&gt;$AX12-$AY12))*$EU12*$V12*MAX(0,1-(1-$X12)*($AX12-4+1)/$AY12)+((5&lt;=$AX12)*(5&gt;$AX12-$AY12))*$EV12*$V12*MAX(0,1-(1-$X12)*($AX12-5+1)/$AY12)</f>
        <v/>
      </c>
      <c r="HF12" s="45">
        <f>SUMPRODUCT($AZ12:$BD12,$GP12:$GT12)</f>
        <v/>
      </c>
      <c r="HG12" s="45">
        <f>SUM($GP12:$GR12)</f>
        <v/>
      </c>
      <c r="HH12" s="45">
        <f>SUM($GP12:$GT12)</f>
        <v/>
      </c>
      <c r="HI12" s="45">
        <f>SUMPRODUCT($AZ12:$BD12,$GU12:$GY12,$BJ12:$BN12)+SUMPRODUCT($AZ12:$BD12,$GZ12:$HD12,$BO12:$BS12)-$HE12/(1+$AM12)^$AX12</f>
        <v/>
      </c>
      <c r="HJ12" s="46">
        <f>MIN(1,MAX(0,IF(ISNUMBER($AJ12),$AJ12,IF($F12+$G12+$H12&gt;0,($G12+$H12)/($F12+$G12+$H12),0))*$AR12))</f>
        <v/>
      </c>
      <c r="HK12" s="25">
        <f>IF($HJ12&gt;0,1,0)</f>
        <v/>
      </c>
      <c r="HL12" s="25">
        <f>IF($HJ12&lt;1,1,0)</f>
        <v/>
      </c>
      <c r="HM12" s="43">
        <f>IF($CE12*$HJ12&gt;0,ROUNDUP($CE12*$HJ12/$AP12,0),0)</f>
        <v/>
      </c>
      <c r="HN12" s="43">
        <f>IF($CF12*$HJ12&gt;0,ROUNDUP($CF12*$HJ12/$AP12,0),0)</f>
        <v/>
      </c>
      <c r="HO12" s="43">
        <f>IF($CG12*$HJ12&gt;0,ROUNDUP($CG12*$HJ12/$AP12,0),0)</f>
        <v/>
      </c>
      <c r="HP12" s="43">
        <f>IF($CH12*$HJ12&gt;0,ROUNDUP($CH12*$HJ12/$AP12,0),0)</f>
        <v/>
      </c>
      <c r="HQ12" s="43">
        <f>IF($CI12*$HJ12&gt;0,ROUNDUP($CI12*$HJ12/$AP12,0),0)</f>
        <v/>
      </c>
      <c r="HR12" s="43">
        <f>MAX($HM12,0)</f>
        <v/>
      </c>
      <c r="HS12" s="43">
        <f>MAX($HN12,$HR12)</f>
        <v/>
      </c>
      <c r="HT12" s="43">
        <f>MAX($HO12,$HS12)</f>
        <v/>
      </c>
      <c r="HU12" s="43">
        <f>MAX($HP12,$HT12)</f>
        <v/>
      </c>
      <c r="HV12" s="43">
        <f>MAX($HQ12,$HU12)</f>
        <v/>
      </c>
      <c r="HW12" s="43">
        <f>$HR12-0</f>
        <v/>
      </c>
      <c r="HX12" s="43">
        <f>$HS12-$HR12</f>
        <v/>
      </c>
      <c r="HY12" s="43">
        <f>$HT12-$HS12</f>
        <v/>
      </c>
      <c r="HZ12" s="43">
        <f>$HU12-$HT12</f>
        <v/>
      </c>
      <c r="IA12" s="43">
        <f>$HV12-$HU12</f>
        <v/>
      </c>
      <c r="IB12" s="43">
        <f>0</f>
        <v/>
      </c>
      <c r="IC12" s="43">
        <f>(1+$AY12=2)*$IG12</f>
        <v/>
      </c>
      <c r="ID12" s="43">
        <f>(1+$AY12=3)*$IG12+(2+$AY12=3)*$IH12</f>
        <v/>
      </c>
      <c r="IE12" s="43">
        <f>(1+$AY12=4)*$IG12+(2+$AY12=4)*$IH12+(3+$AY12=4)*$II12</f>
        <v/>
      </c>
      <c r="IF12" s="43">
        <f>(1+$AY12=5)*$IG12+(2+$AY12=5)*$IH12+(3+$AY12=5)*$II12+(4+$AY12=5)*$IJ12</f>
        <v/>
      </c>
      <c r="IG12" s="43">
        <f>$HW12+$IB12</f>
        <v/>
      </c>
      <c r="IH12" s="43">
        <f>$HX12+$IC12</f>
        <v/>
      </c>
      <c r="II12" s="43">
        <f>$HY12+$ID12</f>
        <v/>
      </c>
      <c r="IJ12" s="43">
        <f>$HZ12+$IE12</f>
        <v/>
      </c>
      <c r="IK12" s="43">
        <f>$IA12+$IF12</f>
        <v/>
      </c>
      <c r="IL12" s="45">
        <f>$IG12*$V12</f>
        <v/>
      </c>
      <c r="IM12" s="45">
        <f>$IH12*$V12</f>
        <v/>
      </c>
      <c r="IN12" s="45">
        <f>$II12*$V12</f>
        <v/>
      </c>
      <c r="IO12" s="45">
        <f>$IJ12*$V12</f>
        <v/>
      </c>
      <c r="IP12" s="45">
        <f>$IK12*$V12</f>
        <v/>
      </c>
      <c r="IQ12" s="45">
        <f>$IB12*$V12*$X12</f>
        <v/>
      </c>
      <c r="IR12" s="45">
        <f>$IC12*$V12*$X12</f>
        <v/>
      </c>
      <c r="IS12" s="45">
        <f>$ID12*$V12*$X12</f>
        <v/>
      </c>
      <c r="IT12" s="45">
        <f>$IE12*$V12*$X12</f>
        <v/>
      </c>
      <c r="IU12" s="45">
        <f>$IF12*$V12*$X12</f>
        <v/>
      </c>
      <c r="IV12" s="45">
        <f>$HR12*$V12*(1-$X12)/$AY12</f>
        <v/>
      </c>
      <c r="IW12" s="45">
        <f>$HS12*$V12*(1-$X12)/$AY12</f>
        <v/>
      </c>
      <c r="IX12" s="45">
        <f>$HT12*$V12*(1-$X12)/$AY12</f>
        <v/>
      </c>
      <c r="IY12" s="45">
        <f>$HU12*$V12*(1-$X12)/$AY12</f>
        <v/>
      </c>
      <c r="IZ12" s="45">
        <f>$HV12*$V12*(1-$X12)/$AY12</f>
        <v/>
      </c>
      <c r="JA12" s="45">
        <f>$HR12*$Y12*$Z12*$AA12*8760*$BE12</f>
        <v/>
      </c>
      <c r="JB12" s="45">
        <f>$HS12*$Y12*$Z12*$AA12*8760*$BF12</f>
        <v/>
      </c>
      <c r="JC12" s="45">
        <f>$HT12*$Y12*$Z12*$AA12*8760*$BG12</f>
        <v/>
      </c>
      <c r="JD12" s="45">
        <f>$HU12*$Y12*$Z12*$AA12*8760*$BH12</f>
        <v/>
      </c>
      <c r="JE12" s="45">
        <f>$HV12*$Y12*$Z12*$AA12*8760*$BI12</f>
        <v/>
      </c>
      <c r="JF12" s="45">
        <f>IF($AC12&gt;0,$AC12*$HK12,$HR12*$Y12*$AB12*12)*$BE12</f>
        <v/>
      </c>
      <c r="JG12" s="45">
        <f>IF($AC12&gt;0,$AC12*$HK12,$HS12*$Y12*$AB12*12)*$BF12</f>
        <v/>
      </c>
      <c r="JH12" s="45">
        <f>IF($AC12&gt;0,$AC12*$HK12,$HT12*$Y12*$AB12*12)*$BG12</f>
        <v/>
      </c>
      <c r="JI12" s="45">
        <f>IF($AC12&gt;0,$AC12*$HK12,$HU12*$Y12*$AB12*12)*$BH12</f>
        <v/>
      </c>
      <c r="JJ12" s="45">
        <f>IF($AC12&gt;0,$AC12*$HK12,$HV12*$Y12*$AB12*12)*$BI12</f>
        <v/>
      </c>
      <c r="JK12" s="45">
        <f>$HR12*$V12*$AD12*$BE12</f>
        <v/>
      </c>
      <c r="JL12" s="45">
        <f>$HS12*$V12*$AD12*$BF12</f>
        <v/>
      </c>
      <c r="JM12" s="45">
        <f>$HT12*$V12*$AD12*$BG12</f>
        <v/>
      </c>
      <c r="JN12" s="45">
        <f>$HU12*$V12*$AD12*$BH12</f>
        <v/>
      </c>
      <c r="JO12" s="45">
        <f>$HV12*$V12*$AD12*$BI12</f>
        <v/>
      </c>
      <c r="JP12" s="45">
        <f>$AE12*$BE12*$HK12</f>
        <v/>
      </c>
      <c r="JQ12" s="45">
        <f>$AE12*$BF12*$HK12</f>
        <v/>
      </c>
      <c r="JR12" s="45">
        <f>$AE12*$BG12*$HK12</f>
        <v/>
      </c>
      <c r="JS12" s="45">
        <f>$AE12*$BH12*$HK12</f>
        <v/>
      </c>
      <c r="JT12" s="45">
        <f>$AE12*$BI12*$HK12</f>
        <v/>
      </c>
      <c r="JU12" s="45">
        <f>$AQ12*$AG12*$BE12*$HK12</f>
        <v/>
      </c>
      <c r="JV12" s="45">
        <f>$AQ12*$AG12*$BF12*$HK12</f>
        <v/>
      </c>
      <c r="JW12" s="45">
        <f>$AQ12*$AG12*$BG12*$HK12</f>
        <v/>
      </c>
      <c r="JX12" s="45">
        <f>$AQ12*$AG12*$BH12*$HK12</f>
        <v/>
      </c>
      <c r="JY12" s="45">
        <f>$AQ12*$AG12*$BI12*$HK12</f>
        <v/>
      </c>
      <c r="JZ12" s="45">
        <f>$BU12*(1-$HJ12)/1000000*$CJ12</f>
        <v/>
      </c>
      <c r="KA12" s="45">
        <f>$BV12*(1-$HJ12)/1000000*$CK12</f>
        <v/>
      </c>
      <c r="KB12" s="45">
        <f>$BW12*(1-$HJ12)/1000000*$CL12</f>
        <v/>
      </c>
      <c r="KC12" s="45">
        <f>$BX12*(1-$HJ12)/1000000*$CM12</f>
        <v/>
      </c>
      <c r="KD12" s="45">
        <f>$BY12*(1-$HJ12)/1000000*$CN12</f>
        <v/>
      </c>
      <c r="KE12" s="45">
        <f>$CT12*$HL12</f>
        <v/>
      </c>
      <c r="KF12" s="45">
        <f>$CU12*$HL12</f>
        <v/>
      </c>
      <c r="KG12" s="45">
        <f>$CV12*$HL12</f>
        <v/>
      </c>
      <c r="KH12" s="45">
        <f>$CW12*$HL12</f>
        <v/>
      </c>
      <c r="KI12" s="45">
        <f>$CX12*$HL12</f>
        <v/>
      </c>
      <c r="KJ12" s="45">
        <f>IF(1=1,$R12*$HL12+$AH12*$HK12+$AK12,0)</f>
        <v/>
      </c>
      <c r="KK12" s="45">
        <f>IF(2=1,$R12*$HL12+$AH12*$HK12+$AK12,0)</f>
        <v/>
      </c>
      <c r="KL12" s="45">
        <f>IF(3=1,$R12*$HL12+$AH12*$HK12+$AK12,0)</f>
        <v/>
      </c>
      <c r="KM12" s="45">
        <f>IF(4=1,$R12*$HL12+$AH12*$HK12+$AK12,0)</f>
        <v/>
      </c>
      <c r="KN12" s="45">
        <f>IF(5=1,$R12*$HL12+$AH12*$HK12+$AK12,0)</f>
        <v/>
      </c>
      <c r="KO12" s="45">
        <f>$IV12+$JA12+$JF12+$JK12+$JP12+$JU12+$JZ12+$KE12+$KJ12</f>
        <v/>
      </c>
      <c r="KP12" s="45">
        <f>$IW12+$JB12+$JG12+$JL12+$JQ12+$JV12+$KA12+$KF12+$KK12</f>
        <v/>
      </c>
      <c r="KQ12" s="45">
        <f>$IX12+$JC12+$JH12+$JM12+$JR12+$JW12+$KB12+$KG12+$KL12</f>
        <v/>
      </c>
      <c r="KR12" s="45">
        <f>$IY12+$JD12+$JI12+$JN12+$JS12+$JX12+$KC12+$KH12+$KM12</f>
        <v/>
      </c>
      <c r="KS12" s="45">
        <f>$IZ12+$JE12+$JJ12+$JO12+$JT12+$JY12+$KD12+$KI12+$KN12</f>
        <v/>
      </c>
      <c r="KT12" s="45">
        <f>$IL12-$IQ12+$KJ12</f>
        <v/>
      </c>
      <c r="KU12" s="45">
        <f>$IM12-$IR12+$KK12</f>
        <v/>
      </c>
      <c r="KV12" s="45">
        <f>$IN12-$IS12+$KL12</f>
        <v/>
      </c>
      <c r="KW12" s="45">
        <f>$IO12-$IT12+$KM12</f>
        <v/>
      </c>
      <c r="KX12" s="45">
        <f>$IP12-$IU12+$KN12</f>
        <v/>
      </c>
      <c r="KY12" s="45">
        <f>$JA12+$JF12+$JK12+$JP12+$JU12+$JZ12+$KE12</f>
        <v/>
      </c>
      <c r="KZ12" s="45">
        <f>$JB12+$JG12+$JL12+$JQ12+$JV12+$KA12+$KF12</f>
        <v/>
      </c>
      <c r="LA12" s="45">
        <f>$JC12+$JH12+$JM12+$JR12+$JW12+$KB12+$KG12</f>
        <v/>
      </c>
      <c r="LB12" s="45">
        <f>$JD12+$JI12+$JN12+$JS12+$JX12+$KC12+$KH12</f>
        <v/>
      </c>
      <c r="LC12" s="45">
        <f>$JE12+$JJ12+$JO12+$JT12+$JY12+$KD12+$KI12</f>
        <v/>
      </c>
      <c r="LD12" s="45">
        <f>((1&lt;=$AX12)*(1&gt;$AX12-$AY12))*$IG12*$V12*MAX(0,1-(1-$X12)*($AX12-1+1)/$AY12)+((2&lt;=$AX12)*(2&gt;$AX12-$AY12))*$IH12*$V12*MAX(0,1-(1-$X12)*($AX12-2+1)/$AY12)+((3&lt;=$AX12)*(3&gt;$AX12-$AY12))*$II12*$V12*MAX(0,1-(1-$X12)*($AX12-3+1)/$AY12)+((4&lt;=$AX12)*(4&gt;$AX12-$AY12))*$IJ12*$V12*MAX(0,1-(1-$X12)*($AX12-4+1)/$AY12)+((5&lt;=$AX12)*(5&gt;$AX12-$AY12))*$IK12*$V12*MAX(0,1-(1-$X12)*($AX12-5+1)/$AY12)</f>
        <v/>
      </c>
      <c r="LE12" s="45">
        <f>SUMPRODUCT($AZ12:$BD12,$KO12:$KS12)</f>
        <v/>
      </c>
      <c r="LF12" s="45">
        <f>SUM($KO12:$KQ12)</f>
        <v/>
      </c>
      <c r="LG12" s="45">
        <f>SUM($KO12:$KS12)</f>
        <v/>
      </c>
      <c r="LH12" s="45">
        <f>SUMPRODUCT($AZ12:$BD12,$KT12:$KX12,$BJ12:$BN12)+SUMPRODUCT($AZ12:$BD12,$KY12:$LC12,$BO12:$BS12)-$LD12/(1+$AM12)^$AX12</f>
        <v/>
      </c>
      <c r="LI12" s="43">
        <f>$BU12/1000000</f>
        <v/>
      </c>
      <c r="LJ12" s="44">
        <f>IF($LI12&gt;0,$DD12/$LI12,0)</f>
        <v/>
      </c>
      <c r="LK12" s="44">
        <f>IF($LI12&gt;0,$GP12/$LI12,0)</f>
        <v/>
      </c>
      <c r="LL12" s="44">
        <f>IF($LI12&gt;0,$KO12/$LI12,0)</f>
        <v/>
      </c>
      <c r="LM12" s="43">
        <f>$AP12*31536000/1000000</f>
        <v/>
      </c>
      <c r="LN12" s="43">
        <f>$EC12*$LM12</f>
        <v/>
      </c>
      <c r="LO12" s="45">
        <f>$FG12+$FL12+$FQ12+$FV12+$GA12+$GF12</f>
        <v/>
      </c>
      <c r="LP12" s="46">
        <f>IF($LN12*$CJ12&gt;0,MAX(0,($LO12-$CT12)/($LN12*$CJ12)),0)</f>
        <v/>
      </c>
      <c r="LQ12" s="46">
        <f>IF($LN12&gt;0,$LI12/$LN12,0)</f>
        <v/>
      </c>
      <c r="LR12" s="46">
        <f>1/($M12*$AI12)</f>
        <v/>
      </c>
      <c r="LS12" s="43">
        <f>$HR12*$LM12</f>
        <v/>
      </c>
      <c r="LT12" s="45">
        <f>$IV12+$JA12+$JF12+$JK12+$JP12+$JU12</f>
        <v/>
      </c>
      <c r="LU12" s="46">
        <f>IF($LS12*$CJ12&gt;0,$LT12/($LS12*$CJ12),0)</f>
        <v/>
      </c>
      <c r="LV12" s="46">
        <f>IF($LS12&gt;0,$LI12*$HJ12/$LS12,0)</f>
        <v/>
      </c>
      <c r="LW12" s="45">
        <f>$V12*(1-$X12)/$AY12+$Y12*$Z12*$AA12*8760+IF($AC12&gt;0,0,$Y12*$AB12*12)+$V12*$AD12</f>
        <v/>
      </c>
      <c r="LX12" s="46">
        <f>IF($LM12*$CJ12&gt;0,$LW12/($LM12*$CJ12),0)</f>
        <v/>
      </c>
      <c r="LY12" s="44">
        <f>IF($LM12*$LR12&gt;0,$LW12/($LM12*$LR12),0)</f>
        <v/>
      </c>
      <c r="LZ12" s="45">
        <f>$AE12+$AF12*$AG12+IF($AC12&gt;0,$AC12,0)-$CT12</f>
        <v/>
      </c>
      <c r="MA12" s="43">
        <f>IF($CJ12&gt;$LY12,MAX(0,$LZ12)/($CJ12-$LY12)*1000000,"Not reachable")</f>
        <v/>
      </c>
      <c r="MB12" s="47">
        <f>IF(AND(ISNUMBER($MA12),$BU12&gt;0),$MA12/$BU12,"n/a")</f>
        <v/>
      </c>
      <c r="MC12" s="47">
        <f>$B12*MAX(0,$D12-1)*$E12</f>
        <v/>
      </c>
      <c r="MD12" s="45">
        <f>$MC12*$C12</f>
        <v/>
      </c>
      <c r="ME12" s="45">
        <f>$MD12*SUMPRODUCT($AZ12:$BD12,$BO12:$BS12)</f>
        <v/>
      </c>
      <c r="MF12" s="45">
        <f>IF($AO12="Yes",$ME12-$DW12,0)</f>
        <v/>
      </c>
      <c r="MG12" s="45">
        <f>IF($AO12="Yes",$ME12-$HI12,0)</f>
        <v/>
      </c>
      <c r="MH12" s="45">
        <f>IF($AO12="Yes",$ME12-$LH12,0)</f>
        <v/>
      </c>
      <c r="MI12" s="45">
        <f>IF($AO12="Yes",$MD12-$DD12,0)</f>
        <v/>
      </c>
      <c r="MJ12" s="25">
        <f>IF(AND($DW12&lt;=$HI12,$DW12&lt;=$LH12),"Rent the Frontier",IF($HI12&lt;=$LH12,"Own the Frontier","Hybrid"))</f>
        <v/>
      </c>
      <c r="MK12" s="25">
        <f>IF(AND($DT12&lt;=$HF12,$DT12&lt;=$LE12),"Rent the Frontier",IF($HF12&lt;=$LE12,"Own the Frontier","Hybrid"))</f>
        <v/>
      </c>
    </row>
    <row r="13">
      <c r="A13" s="25">
        <f>Sensitivity!A16&amp;" ("&amp;Sensitivity!C16&amp;")"</f>
        <v/>
      </c>
      <c r="B13" s="25">
        <f>Inputs!$B$5</f>
        <v/>
      </c>
      <c r="C13" s="25">
        <f>Inputs!$B$6</f>
        <v/>
      </c>
      <c r="D13" s="25">
        <f>Inputs!$B$7</f>
        <v/>
      </c>
      <c r="E13" s="25">
        <f>Inputs!$B$8</f>
        <v/>
      </c>
      <c r="F13" s="25">
        <f>Inputs!$B$12</f>
        <v/>
      </c>
      <c r="G13" s="25">
        <f>Inputs!$B$13</f>
        <v/>
      </c>
      <c r="H13" s="25">
        <f>Inputs!$B$14</f>
        <v/>
      </c>
      <c r="I13" s="25">
        <f>Inputs!$B$18</f>
        <v/>
      </c>
      <c r="J13" s="25">
        <f>Inputs!$B$19</f>
        <v/>
      </c>
      <c r="K13" s="25">
        <f>Inputs!$B$20</f>
        <v/>
      </c>
      <c r="L13" s="25">
        <f>Inputs!$B$21</f>
        <v/>
      </c>
      <c r="M13" s="25">
        <f>Inputs!$B$22</f>
        <v/>
      </c>
      <c r="N13" s="25">
        <f>Inputs!$B$23</f>
        <v/>
      </c>
      <c r="O13" s="25">
        <f>Inputs!$B$26</f>
        <v/>
      </c>
      <c r="P13" s="25">
        <f>Inputs!$B$27</f>
        <v/>
      </c>
      <c r="Q13" s="25">
        <f>Inputs!$B$28</f>
        <v/>
      </c>
      <c r="R13" s="25">
        <f>Inputs!$B$29</f>
        <v/>
      </c>
      <c r="S13" s="25">
        <f>Inputs!$B$30</f>
        <v/>
      </c>
      <c r="T13" s="25">
        <f>Inputs!$B$31</f>
        <v/>
      </c>
      <c r="U13" s="25">
        <f>Inputs!$B$32</f>
        <v/>
      </c>
      <c r="V13" s="25">
        <f>Inputs!$B$35</f>
        <v/>
      </c>
      <c r="W13" s="25">
        <f>Inputs!$B$36</f>
        <v/>
      </c>
      <c r="X13" s="25">
        <f>MIN(1,Inputs!$B$37*Sensitivity!$D$16)</f>
        <v/>
      </c>
      <c r="Y13" s="25">
        <f>Inputs!$B$38</f>
        <v/>
      </c>
      <c r="Z13" s="25">
        <f>Inputs!$B$39</f>
        <v/>
      </c>
      <c r="AA13" s="25">
        <f>Inputs!$B$40</f>
        <v/>
      </c>
      <c r="AB13" s="25">
        <f>Inputs!$B$41</f>
        <v/>
      </c>
      <c r="AC13" s="25">
        <f>Inputs!$B$42</f>
        <v/>
      </c>
      <c r="AD13" s="25">
        <f>Inputs!$B$43</f>
        <v/>
      </c>
      <c r="AE13" s="25">
        <f>Inputs!$B$44</f>
        <v/>
      </c>
      <c r="AF13" s="25">
        <f>Inputs!$B$45</f>
        <v/>
      </c>
      <c r="AG13" s="25">
        <f>Inputs!$B$46</f>
        <v/>
      </c>
      <c r="AH13" s="25">
        <f>Inputs!$B$47</f>
        <v/>
      </c>
      <c r="AI13" s="25">
        <f>Inputs!$B$48</f>
        <v/>
      </c>
      <c r="AJ13" s="25">
        <f>IF(ISNUMBER(Inputs!$B$51),Inputs!$B$51,"")</f>
        <v/>
      </c>
      <c r="AK13" s="25">
        <f>Inputs!$B$52</f>
        <v/>
      </c>
      <c r="AL13" s="25">
        <f>Inputs!$B$55</f>
        <v/>
      </c>
      <c r="AM13" s="25">
        <f>Inputs!$B$56</f>
        <v/>
      </c>
      <c r="AN13" s="25">
        <f>Inputs!$B$57</f>
        <v/>
      </c>
      <c r="AO13" s="25">
        <f>Inputs!$B$58</f>
        <v/>
      </c>
      <c r="AP13" s="25">
        <f>Inputs!$B$61</f>
        <v/>
      </c>
      <c r="AQ13" s="25">
        <f>Inputs!$B$62</f>
        <v/>
      </c>
      <c r="AR13" s="25">
        <f>1</f>
        <v/>
      </c>
      <c r="AS13" s="25" t="n">
        <v>1</v>
      </c>
      <c r="AT13" s="25" t="n">
        <v>2</v>
      </c>
      <c r="AU13" s="25" t="n">
        <v>3</v>
      </c>
      <c r="AV13" s="25" t="n">
        <v>4</v>
      </c>
      <c r="AW13" s="25" t="n">
        <v>5</v>
      </c>
      <c r="AX13" s="25">
        <f>MIN(5,MAX(1,ROUND($AL13,0)))</f>
        <v/>
      </c>
      <c r="AY13" s="25">
        <f>MAX(1,ROUND($W13,0))</f>
        <v/>
      </c>
      <c r="AZ13" s="25">
        <f>IF(1&lt;=$AX13,1,0)</f>
        <v/>
      </c>
      <c r="BA13" s="25">
        <f>IF(2&lt;=$AX13,1,0)</f>
        <v/>
      </c>
      <c r="BB13" s="25">
        <f>IF(3&lt;=$AX13,1,0)</f>
        <v/>
      </c>
      <c r="BC13" s="25">
        <f>IF(4&lt;=$AX13,1,0)</f>
        <v/>
      </c>
      <c r="BD13" s="25">
        <f>IF(5&lt;=$AX13,1,0)</f>
        <v/>
      </c>
      <c r="BE13" s="52">
        <f>(1+$AN13)^(1-1)</f>
        <v/>
      </c>
      <c r="BF13" s="52">
        <f>(1+$AN13)^(2-1)</f>
        <v/>
      </c>
      <c r="BG13" s="52">
        <f>(1+$AN13)^(3-1)</f>
        <v/>
      </c>
      <c r="BH13" s="52">
        <f>(1+$AN13)^(4-1)</f>
        <v/>
      </c>
      <c r="BI13" s="52">
        <f>(1+$AN13)^(5-1)</f>
        <v/>
      </c>
      <c r="BJ13" s="53">
        <f>1/(1+$AM13)^(1-1)</f>
        <v/>
      </c>
      <c r="BK13" s="53">
        <f>1/(1+$AM13)^(2-1)</f>
        <v/>
      </c>
      <c r="BL13" s="53">
        <f>1/(1+$AM13)^(3-1)</f>
        <v/>
      </c>
      <c r="BM13" s="53">
        <f>1/(1+$AM13)^(4-1)</f>
        <v/>
      </c>
      <c r="BN13" s="53">
        <f>1/(1+$AM13)^(5-1)</f>
        <v/>
      </c>
      <c r="BO13" s="53">
        <f>1/(1+$AM13)^1</f>
        <v/>
      </c>
      <c r="BP13" s="53">
        <f>1/(1+$AM13)^2</f>
        <v/>
      </c>
      <c r="BQ13" s="53">
        <f>1/(1+$AM13)^3</f>
        <v/>
      </c>
      <c r="BR13" s="53">
        <f>1/(1+$AM13)^4</f>
        <v/>
      </c>
      <c r="BS13" s="53">
        <f>1/(1+$AM13)^5</f>
        <v/>
      </c>
      <c r="BT13" s="43">
        <f>IF(AND($I13="Direct monthly estimate",$J13&gt;0),$J13,$D13*$K13*$L13)</f>
        <v/>
      </c>
      <c r="BU13" s="43">
        <f>$BT13*$B13*12*(1+$N13)^(1-1)</f>
        <v/>
      </c>
      <c r="BV13" s="43">
        <f>$BT13*$B13*12*(1+$N13)^(2-1)</f>
        <v/>
      </c>
      <c r="BW13" s="43">
        <f>$BT13*$B13*12*(1+$N13)^(3-1)</f>
        <v/>
      </c>
      <c r="BX13" s="43">
        <f>$BT13*$B13*12*(1+$N13)^(4-1)</f>
        <v/>
      </c>
      <c r="BY13" s="43">
        <f>$BT13*$B13*12*(1+$N13)^(5-1)</f>
        <v/>
      </c>
      <c r="BZ13" s="43">
        <f>$BU13/31536000*$M13</f>
        <v/>
      </c>
      <c r="CA13" s="43">
        <f>$BV13/31536000*$M13</f>
        <v/>
      </c>
      <c r="CB13" s="43">
        <f>$BW13/31536000*$M13</f>
        <v/>
      </c>
      <c r="CC13" s="43">
        <f>$BX13/31536000*$M13</f>
        <v/>
      </c>
      <c r="CD13" s="43">
        <f>$BY13/31536000*$M13</f>
        <v/>
      </c>
      <c r="CE13" s="43">
        <f>$BZ13*$AI13</f>
        <v/>
      </c>
      <c r="CF13" s="43">
        <f>$CA13*$AI13</f>
        <v/>
      </c>
      <c r="CG13" s="43">
        <f>$CB13*$AI13</f>
        <v/>
      </c>
      <c r="CH13" s="43">
        <f>$CC13*$AI13</f>
        <v/>
      </c>
      <c r="CI13" s="43">
        <f>$CD13*$AI13</f>
        <v/>
      </c>
      <c r="CJ13" s="44">
        <f>$O13*(1-$Q13)*(1-$P13)^(1-1)</f>
        <v/>
      </c>
      <c r="CK13" s="44">
        <f>$O13*(1-$Q13)*(1-$P13)^(2-1)</f>
        <v/>
      </c>
      <c r="CL13" s="44">
        <f>$O13*(1-$Q13)*(1-$P13)^(3-1)</f>
        <v/>
      </c>
      <c r="CM13" s="44">
        <f>$O13*(1-$Q13)*(1-$P13)^(4-1)</f>
        <v/>
      </c>
      <c r="CN13" s="44">
        <f>$O13*(1-$Q13)*(1-$P13)^(5-1)</f>
        <v/>
      </c>
      <c r="CO13" s="45">
        <f>$BU13/1000000*$CJ13</f>
        <v/>
      </c>
      <c r="CP13" s="45">
        <f>$BV13/1000000*$CK13</f>
        <v/>
      </c>
      <c r="CQ13" s="45">
        <f>$BW13/1000000*$CL13</f>
        <v/>
      </c>
      <c r="CR13" s="45">
        <f>$BX13/1000000*$CM13</f>
        <v/>
      </c>
      <c r="CS13" s="45">
        <f>$BY13/1000000*$CN13</f>
        <v/>
      </c>
      <c r="CT13" s="45">
        <f>($T13*$U13+$S13)*$BE13</f>
        <v/>
      </c>
      <c r="CU13" s="45">
        <f>($T13*$U13+$S13)*$BF13</f>
        <v/>
      </c>
      <c r="CV13" s="45">
        <f>($T13*$U13+$S13)*$BG13</f>
        <v/>
      </c>
      <c r="CW13" s="45">
        <f>($T13*$U13+$S13)*$BH13</f>
        <v/>
      </c>
      <c r="CX13" s="45">
        <f>($T13*$U13+$S13)*$BI13</f>
        <v/>
      </c>
      <c r="CY13" s="45">
        <f>IF(1=1,$R13,0)</f>
        <v/>
      </c>
      <c r="CZ13" s="45">
        <f>IF(2=1,$R13,0)</f>
        <v/>
      </c>
      <c r="DA13" s="45">
        <f>IF(3=1,$R13,0)</f>
        <v/>
      </c>
      <c r="DB13" s="45">
        <f>IF(4=1,$R13,0)</f>
        <v/>
      </c>
      <c r="DC13" s="45">
        <f>IF(5=1,$R13,0)</f>
        <v/>
      </c>
      <c r="DD13" s="45">
        <f>$CO13+$CT13+$CY13</f>
        <v/>
      </c>
      <c r="DE13" s="45">
        <f>$CP13+$CU13+$CZ13</f>
        <v/>
      </c>
      <c r="DF13" s="45">
        <f>$CQ13+$CV13+$DA13</f>
        <v/>
      </c>
      <c r="DG13" s="45">
        <f>$CR13+$CW13+$DB13</f>
        <v/>
      </c>
      <c r="DH13" s="45">
        <f>$CS13+$CX13+$DC13</f>
        <v/>
      </c>
      <c r="DI13" s="45">
        <f>$CY13</f>
        <v/>
      </c>
      <c r="DJ13" s="45">
        <f>$CZ13</f>
        <v/>
      </c>
      <c r="DK13" s="45">
        <f>$DA13</f>
        <v/>
      </c>
      <c r="DL13" s="45">
        <f>$DB13</f>
        <v/>
      </c>
      <c r="DM13" s="45">
        <f>$DC13</f>
        <v/>
      </c>
      <c r="DN13" s="45">
        <f>$CO13+$CT13</f>
        <v/>
      </c>
      <c r="DO13" s="45">
        <f>$CP13+$CU13</f>
        <v/>
      </c>
      <c r="DP13" s="45">
        <f>$CQ13+$CV13</f>
        <v/>
      </c>
      <c r="DQ13" s="45">
        <f>$CR13+$CW13</f>
        <v/>
      </c>
      <c r="DR13" s="45">
        <f>$CS13+$CX13</f>
        <v/>
      </c>
      <c r="DS13" s="45">
        <f>0</f>
        <v/>
      </c>
      <c r="DT13" s="45">
        <f>SUMPRODUCT($AZ13:$BD13,$DD13:$DH13)</f>
        <v/>
      </c>
      <c r="DU13" s="45">
        <f>SUM($DD13:$DF13)</f>
        <v/>
      </c>
      <c r="DV13" s="45">
        <f>SUM($DD13:$DH13)</f>
        <v/>
      </c>
      <c r="DW13" s="45">
        <f>SUMPRODUCT($AZ13:$BD13,$DI13:$DM13,$BJ13:$BN13)+SUMPRODUCT($AZ13:$BD13,$DN13:$DR13,$BO13:$BS13)-$DS13/(1+$AM13)^$AX13</f>
        <v/>
      </c>
      <c r="DX13" s="43">
        <f>IF($CE13&gt;0,ROUNDUP($CE13/$AP13,0),0)</f>
        <v/>
      </c>
      <c r="DY13" s="43">
        <f>IF($CF13&gt;0,ROUNDUP($CF13/$AP13,0),0)</f>
        <v/>
      </c>
      <c r="DZ13" s="43">
        <f>IF($CG13&gt;0,ROUNDUP($CG13/$AP13,0),0)</f>
        <v/>
      </c>
      <c r="EA13" s="43">
        <f>IF($CH13&gt;0,ROUNDUP($CH13/$AP13,0),0)</f>
        <v/>
      </c>
      <c r="EB13" s="43">
        <f>IF($CI13&gt;0,ROUNDUP($CI13/$AP13,0),0)</f>
        <v/>
      </c>
      <c r="EC13" s="43">
        <f>MAX($DX13,0)</f>
        <v/>
      </c>
      <c r="ED13" s="43">
        <f>MAX($DY13,$EC13)</f>
        <v/>
      </c>
      <c r="EE13" s="43">
        <f>MAX($DZ13,$ED13)</f>
        <v/>
      </c>
      <c r="EF13" s="43">
        <f>MAX($EA13,$EE13)</f>
        <v/>
      </c>
      <c r="EG13" s="43">
        <f>MAX($EB13,$EF13)</f>
        <v/>
      </c>
      <c r="EH13" s="43">
        <f>$EC13-0</f>
        <v/>
      </c>
      <c r="EI13" s="43">
        <f>$ED13-$EC13</f>
        <v/>
      </c>
      <c r="EJ13" s="43">
        <f>$EE13-$ED13</f>
        <v/>
      </c>
      <c r="EK13" s="43">
        <f>$EF13-$EE13</f>
        <v/>
      </c>
      <c r="EL13" s="43">
        <f>$EG13-$EF13</f>
        <v/>
      </c>
      <c r="EM13" s="43">
        <f>0</f>
        <v/>
      </c>
      <c r="EN13" s="43">
        <f>(1+$AY13=2)*$ER13</f>
        <v/>
      </c>
      <c r="EO13" s="43">
        <f>(1+$AY13=3)*$ER13+(2+$AY13=3)*$ES13</f>
        <v/>
      </c>
      <c r="EP13" s="43">
        <f>(1+$AY13=4)*$ER13+(2+$AY13=4)*$ES13+(3+$AY13=4)*$ET13</f>
        <v/>
      </c>
      <c r="EQ13" s="43">
        <f>(1+$AY13=5)*$ER13+(2+$AY13=5)*$ES13+(3+$AY13=5)*$ET13+(4+$AY13=5)*$EU13</f>
        <v/>
      </c>
      <c r="ER13" s="43">
        <f>$EH13+$EM13</f>
        <v/>
      </c>
      <c r="ES13" s="43">
        <f>$EI13+$EN13</f>
        <v/>
      </c>
      <c r="ET13" s="43">
        <f>$EJ13+$EO13</f>
        <v/>
      </c>
      <c r="EU13" s="43">
        <f>$EK13+$EP13</f>
        <v/>
      </c>
      <c r="EV13" s="43">
        <f>$EL13+$EQ13</f>
        <v/>
      </c>
      <c r="EW13" s="45">
        <f>$ER13*$V13</f>
        <v/>
      </c>
      <c r="EX13" s="45">
        <f>$ES13*$V13</f>
        <v/>
      </c>
      <c r="EY13" s="45">
        <f>$ET13*$V13</f>
        <v/>
      </c>
      <c r="EZ13" s="45">
        <f>$EU13*$V13</f>
        <v/>
      </c>
      <c r="FA13" s="45">
        <f>$EV13*$V13</f>
        <v/>
      </c>
      <c r="FB13" s="45">
        <f>$EM13*$V13*$X13</f>
        <v/>
      </c>
      <c r="FC13" s="45">
        <f>$EN13*$V13*$X13</f>
        <v/>
      </c>
      <c r="FD13" s="45">
        <f>$EO13*$V13*$X13</f>
        <v/>
      </c>
      <c r="FE13" s="45">
        <f>$EP13*$V13*$X13</f>
        <v/>
      </c>
      <c r="FF13" s="45">
        <f>$EQ13*$V13*$X13</f>
        <v/>
      </c>
      <c r="FG13" s="45">
        <f>$EC13*$V13*(1-$X13)/$AY13</f>
        <v/>
      </c>
      <c r="FH13" s="45">
        <f>$ED13*$V13*(1-$X13)/$AY13</f>
        <v/>
      </c>
      <c r="FI13" s="45">
        <f>$EE13*$V13*(1-$X13)/$AY13</f>
        <v/>
      </c>
      <c r="FJ13" s="45">
        <f>$EF13*$V13*(1-$X13)/$AY13</f>
        <v/>
      </c>
      <c r="FK13" s="45">
        <f>$EG13*$V13*(1-$X13)/$AY13</f>
        <v/>
      </c>
      <c r="FL13" s="45">
        <f>$EC13*$Y13*$Z13*$AA13*8760*$BE13</f>
        <v/>
      </c>
      <c r="FM13" s="45">
        <f>$ED13*$Y13*$Z13*$AA13*8760*$BF13</f>
        <v/>
      </c>
      <c r="FN13" s="45">
        <f>$EE13*$Y13*$Z13*$AA13*8760*$BG13</f>
        <v/>
      </c>
      <c r="FO13" s="45">
        <f>$EF13*$Y13*$Z13*$AA13*8760*$BH13</f>
        <v/>
      </c>
      <c r="FP13" s="45">
        <f>$EG13*$Y13*$Z13*$AA13*8760*$BI13</f>
        <v/>
      </c>
      <c r="FQ13" s="45">
        <f>IF($AC13&gt;0,$AC13,$EC13*$Y13*$AB13*12)*$BE13</f>
        <v/>
      </c>
      <c r="FR13" s="45">
        <f>IF($AC13&gt;0,$AC13,$ED13*$Y13*$AB13*12)*$BF13</f>
        <v/>
      </c>
      <c r="FS13" s="45">
        <f>IF($AC13&gt;0,$AC13,$EE13*$Y13*$AB13*12)*$BG13</f>
        <v/>
      </c>
      <c r="FT13" s="45">
        <f>IF($AC13&gt;0,$AC13,$EF13*$Y13*$AB13*12)*$BH13</f>
        <v/>
      </c>
      <c r="FU13" s="45">
        <f>IF($AC13&gt;0,$AC13,$EG13*$Y13*$AB13*12)*$BI13</f>
        <v/>
      </c>
      <c r="FV13" s="45">
        <f>$EC13*$V13*$AD13*$BE13</f>
        <v/>
      </c>
      <c r="FW13" s="45">
        <f>$ED13*$V13*$AD13*$BF13</f>
        <v/>
      </c>
      <c r="FX13" s="45">
        <f>$EE13*$V13*$AD13*$BG13</f>
        <v/>
      </c>
      <c r="FY13" s="45">
        <f>$EF13*$V13*$AD13*$BH13</f>
        <v/>
      </c>
      <c r="FZ13" s="45">
        <f>$EG13*$V13*$AD13*$BI13</f>
        <v/>
      </c>
      <c r="GA13" s="45">
        <f>$AE13*$BE13</f>
        <v/>
      </c>
      <c r="GB13" s="45">
        <f>$AE13*$BF13</f>
        <v/>
      </c>
      <c r="GC13" s="45">
        <f>$AE13*$BG13</f>
        <v/>
      </c>
      <c r="GD13" s="45">
        <f>$AE13*$BH13</f>
        <v/>
      </c>
      <c r="GE13" s="45">
        <f>$AE13*$BI13</f>
        <v/>
      </c>
      <c r="GF13" s="45">
        <f>$AF13*$AG13*$BE13</f>
        <v/>
      </c>
      <c r="GG13" s="45">
        <f>$AF13*$AG13*$BF13</f>
        <v/>
      </c>
      <c r="GH13" s="45">
        <f>$AF13*$AG13*$BG13</f>
        <v/>
      </c>
      <c r="GI13" s="45">
        <f>$AF13*$AG13*$BH13</f>
        <v/>
      </c>
      <c r="GJ13" s="45">
        <f>$AF13*$AG13*$BI13</f>
        <v/>
      </c>
      <c r="GK13" s="45">
        <f>IF(1=1,$AH13,0)</f>
        <v/>
      </c>
      <c r="GL13" s="45">
        <f>IF(2=1,$AH13,0)</f>
        <v/>
      </c>
      <c r="GM13" s="45">
        <f>IF(3=1,$AH13,0)</f>
        <v/>
      </c>
      <c r="GN13" s="45">
        <f>IF(4=1,$AH13,0)</f>
        <v/>
      </c>
      <c r="GO13" s="45">
        <f>IF(5=1,$AH13,0)</f>
        <v/>
      </c>
      <c r="GP13" s="45">
        <f>$FG13+$FL13+$FQ13+$FV13+$GA13+$GF13+$GK13</f>
        <v/>
      </c>
      <c r="GQ13" s="45">
        <f>$FH13+$FM13+$FR13+$FW13+$GB13+$GG13+$GL13</f>
        <v/>
      </c>
      <c r="GR13" s="45">
        <f>$FI13+$FN13+$FS13+$FX13+$GC13+$GH13+$GM13</f>
        <v/>
      </c>
      <c r="GS13" s="45">
        <f>$FJ13+$FO13+$FT13+$FY13+$GD13+$GI13+$GN13</f>
        <v/>
      </c>
      <c r="GT13" s="45">
        <f>$FK13+$FP13+$FU13+$FZ13+$GE13+$GJ13+$GO13</f>
        <v/>
      </c>
      <c r="GU13" s="45">
        <f>$EW13-$FB13+$GK13</f>
        <v/>
      </c>
      <c r="GV13" s="45">
        <f>$EX13-$FC13+$GL13</f>
        <v/>
      </c>
      <c r="GW13" s="45">
        <f>$EY13-$FD13+$GM13</f>
        <v/>
      </c>
      <c r="GX13" s="45">
        <f>$EZ13-$FE13+$GN13</f>
        <v/>
      </c>
      <c r="GY13" s="45">
        <f>$FA13-$FF13+$GO13</f>
        <v/>
      </c>
      <c r="GZ13" s="45">
        <f>$FL13+$FQ13+$FV13+$GA13+$GF13</f>
        <v/>
      </c>
      <c r="HA13" s="45">
        <f>$FM13+$FR13+$FW13+$GB13+$GG13</f>
        <v/>
      </c>
      <c r="HB13" s="45">
        <f>$FN13+$FS13+$FX13+$GC13+$GH13</f>
        <v/>
      </c>
      <c r="HC13" s="45">
        <f>$FO13+$FT13+$FY13+$GD13+$GI13</f>
        <v/>
      </c>
      <c r="HD13" s="45">
        <f>$FP13+$FU13+$FZ13+$GE13+$GJ13</f>
        <v/>
      </c>
      <c r="HE13" s="45">
        <f>((1&lt;=$AX13)*(1&gt;$AX13-$AY13))*$ER13*$V13*MAX(0,1-(1-$X13)*($AX13-1+1)/$AY13)+((2&lt;=$AX13)*(2&gt;$AX13-$AY13))*$ES13*$V13*MAX(0,1-(1-$X13)*($AX13-2+1)/$AY13)+((3&lt;=$AX13)*(3&gt;$AX13-$AY13))*$ET13*$V13*MAX(0,1-(1-$X13)*($AX13-3+1)/$AY13)+((4&lt;=$AX13)*(4&gt;$AX13-$AY13))*$EU13*$V13*MAX(0,1-(1-$X13)*($AX13-4+1)/$AY13)+((5&lt;=$AX13)*(5&gt;$AX13-$AY13))*$EV13*$V13*MAX(0,1-(1-$X13)*($AX13-5+1)/$AY13)</f>
        <v/>
      </c>
      <c r="HF13" s="45">
        <f>SUMPRODUCT($AZ13:$BD13,$GP13:$GT13)</f>
        <v/>
      </c>
      <c r="HG13" s="45">
        <f>SUM($GP13:$GR13)</f>
        <v/>
      </c>
      <c r="HH13" s="45">
        <f>SUM($GP13:$GT13)</f>
        <v/>
      </c>
      <c r="HI13" s="45">
        <f>SUMPRODUCT($AZ13:$BD13,$GU13:$GY13,$BJ13:$BN13)+SUMPRODUCT($AZ13:$BD13,$GZ13:$HD13,$BO13:$BS13)-$HE13/(1+$AM13)^$AX13</f>
        <v/>
      </c>
      <c r="HJ13" s="46">
        <f>MIN(1,MAX(0,IF(ISNUMBER($AJ13),$AJ13,IF($F13+$G13+$H13&gt;0,($G13+$H13)/($F13+$G13+$H13),0))*$AR13))</f>
        <v/>
      </c>
      <c r="HK13" s="25">
        <f>IF($HJ13&gt;0,1,0)</f>
        <v/>
      </c>
      <c r="HL13" s="25">
        <f>IF($HJ13&lt;1,1,0)</f>
        <v/>
      </c>
      <c r="HM13" s="43">
        <f>IF($CE13*$HJ13&gt;0,ROUNDUP($CE13*$HJ13/$AP13,0),0)</f>
        <v/>
      </c>
      <c r="HN13" s="43">
        <f>IF($CF13*$HJ13&gt;0,ROUNDUP($CF13*$HJ13/$AP13,0),0)</f>
        <v/>
      </c>
      <c r="HO13" s="43">
        <f>IF($CG13*$HJ13&gt;0,ROUNDUP($CG13*$HJ13/$AP13,0),0)</f>
        <v/>
      </c>
      <c r="HP13" s="43">
        <f>IF($CH13*$HJ13&gt;0,ROUNDUP($CH13*$HJ13/$AP13,0),0)</f>
        <v/>
      </c>
      <c r="HQ13" s="43">
        <f>IF($CI13*$HJ13&gt;0,ROUNDUP($CI13*$HJ13/$AP13,0),0)</f>
        <v/>
      </c>
      <c r="HR13" s="43">
        <f>MAX($HM13,0)</f>
        <v/>
      </c>
      <c r="HS13" s="43">
        <f>MAX($HN13,$HR13)</f>
        <v/>
      </c>
      <c r="HT13" s="43">
        <f>MAX($HO13,$HS13)</f>
        <v/>
      </c>
      <c r="HU13" s="43">
        <f>MAX($HP13,$HT13)</f>
        <v/>
      </c>
      <c r="HV13" s="43">
        <f>MAX($HQ13,$HU13)</f>
        <v/>
      </c>
      <c r="HW13" s="43">
        <f>$HR13-0</f>
        <v/>
      </c>
      <c r="HX13" s="43">
        <f>$HS13-$HR13</f>
        <v/>
      </c>
      <c r="HY13" s="43">
        <f>$HT13-$HS13</f>
        <v/>
      </c>
      <c r="HZ13" s="43">
        <f>$HU13-$HT13</f>
        <v/>
      </c>
      <c r="IA13" s="43">
        <f>$HV13-$HU13</f>
        <v/>
      </c>
      <c r="IB13" s="43">
        <f>0</f>
        <v/>
      </c>
      <c r="IC13" s="43">
        <f>(1+$AY13=2)*$IG13</f>
        <v/>
      </c>
      <c r="ID13" s="43">
        <f>(1+$AY13=3)*$IG13+(2+$AY13=3)*$IH13</f>
        <v/>
      </c>
      <c r="IE13" s="43">
        <f>(1+$AY13=4)*$IG13+(2+$AY13=4)*$IH13+(3+$AY13=4)*$II13</f>
        <v/>
      </c>
      <c r="IF13" s="43">
        <f>(1+$AY13=5)*$IG13+(2+$AY13=5)*$IH13+(3+$AY13=5)*$II13+(4+$AY13=5)*$IJ13</f>
        <v/>
      </c>
      <c r="IG13" s="43">
        <f>$HW13+$IB13</f>
        <v/>
      </c>
      <c r="IH13" s="43">
        <f>$HX13+$IC13</f>
        <v/>
      </c>
      <c r="II13" s="43">
        <f>$HY13+$ID13</f>
        <v/>
      </c>
      <c r="IJ13" s="43">
        <f>$HZ13+$IE13</f>
        <v/>
      </c>
      <c r="IK13" s="43">
        <f>$IA13+$IF13</f>
        <v/>
      </c>
      <c r="IL13" s="45">
        <f>$IG13*$V13</f>
        <v/>
      </c>
      <c r="IM13" s="45">
        <f>$IH13*$V13</f>
        <v/>
      </c>
      <c r="IN13" s="45">
        <f>$II13*$V13</f>
        <v/>
      </c>
      <c r="IO13" s="45">
        <f>$IJ13*$V13</f>
        <v/>
      </c>
      <c r="IP13" s="45">
        <f>$IK13*$V13</f>
        <v/>
      </c>
      <c r="IQ13" s="45">
        <f>$IB13*$V13*$X13</f>
        <v/>
      </c>
      <c r="IR13" s="45">
        <f>$IC13*$V13*$X13</f>
        <v/>
      </c>
      <c r="IS13" s="45">
        <f>$ID13*$V13*$X13</f>
        <v/>
      </c>
      <c r="IT13" s="45">
        <f>$IE13*$V13*$X13</f>
        <v/>
      </c>
      <c r="IU13" s="45">
        <f>$IF13*$V13*$X13</f>
        <v/>
      </c>
      <c r="IV13" s="45">
        <f>$HR13*$V13*(1-$X13)/$AY13</f>
        <v/>
      </c>
      <c r="IW13" s="45">
        <f>$HS13*$V13*(1-$X13)/$AY13</f>
        <v/>
      </c>
      <c r="IX13" s="45">
        <f>$HT13*$V13*(1-$X13)/$AY13</f>
        <v/>
      </c>
      <c r="IY13" s="45">
        <f>$HU13*$V13*(1-$X13)/$AY13</f>
        <v/>
      </c>
      <c r="IZ13" s="45">
        <f>$HV13*$V13*(1-$X13)/$AY13</f>
        <v/>
      </c>
      <c r="JA13" s="45">
        <f>$HR13*$Y13*$Z13*$AA13*8760*$BE13</f>
        <v/>
      </c>
      <c r="JB13" s="45">
        <f>$HS13*$Y13*$Z13*$AA13*8760*$BF13</f>
        <v/>
      </c>
      <c r="JC13" s="45">
        <f>$HT13*$Y13*$Z13*$AA13*8760*$BG13</f>
        <v/>
      </c>
      <c r="JD13" s="45">
        <f>$HU13*$Y13*$Z13*$AA13*8760*$BH13</f>
        <v/>
      </c>
      <c r="JE13" s="45">
        <f>$HV13*$Y13*$Z13*$AA13*8760*$BI13</f>
        <v/>
      </c>
      <c r="JF13" s="45">
        <f>IF($AC13&gt;0,$AC13*$HK13,$HR13*$Y13*$AB13*12)*$BE13</f>
        <v/>
      </c>
      <c r="JG13" s="45">
        <f>IF($AC13&gt;0,$AC13*$HK13,$HS13*$Y13*$AB13*12)*$BF13</f>
        <v/>
      </c>
      <c r="JH13" s="45">
        <f>IF($AC13&gt;0,$AC13*$HK13,$HT13*$Y13*$AB13*12)*$BG13</f>
        <v/>
      </c>
      <c r="JI13" s="45">
        <f>IF($AC13&gt;0,$AC13*$HK13,$HU13*$Y13*$AB13*12)*$BH13</f>
        <v/>
      </c>
      <c r="JJ13" s="45">
        <f>IF($AC13&gt;0,$AC13*$HK13,$HV13*$Y13*$AB13*12)*$BI13</f>
        <v/>
      </c>
      <c r="JK13" s="45">
        <f>$HR13*$V13*$AD13*$BE13</f>
        <v/>
      </c>
      <c r="JL13" s="45">
        <f>$HS13*$V13*$AD13*$BF13</f>
        <v/>
      </c>
      <c r="JM13" s="45">
        <f>$HT13*$V13*$AD13*$BG13</f>
        <v/>
      </c>
      <c r="JN13" s="45">
        <f>$HU13*$V13*$AD13*$BH13</f>
        <v/>
      </c>
      <c r="JO13" s="45">
        <f>$HV13*$V13*$AD13*$BI13</f>
        <v/>
      </c>
      <c r="JP13" s="45">
        <f>$AE13*$BE13*$HK13</f>
        <v/>
      </c>
      <c r="JQ13" s="45">
        <f>$AE13*$BF13*$HK13</f>
        <v/>
      </c>
      <c r="JR13" s="45">
        <f>$AE13*$BG13*$HK13</f>
        <v/>
      </c>
      <c r="JS13" s="45">
        <f>$AE13*$BH13*$HK13</f>
        <v/>
      </c>
      <c r="JT13" s="45">
        <f>$AE13*$BI13*$HK13</f>
        <v/>
      </c>
      <c r="JU13" s="45">
        <f>$AQ13*$AG13*$BE13*$HK13</f>
        <v/>
      </c>
      <c r="JV13" s="45">
        <f>$AQ13*$AG13*$BF13*$HK13</f>
        <v/>
      </c>
      <c r="JW13" s="45">
        <f>$AQ13*$AG13*$BG13*$HK13</f>
        <v/>
      </c>
      <c r="JX13" s="45">
        <f>$AQ13*$AG13*$BH13*$HK13</f>
        <v/>
      </c>
      <c r="JY13" s="45">
        <f>$AQ13*$AG13*$BI13*$HK13</f>
        <v/>
      </c>
      <c r="JZ13" s="45">
        <f>$BU13*(1-$HJ13)/1000000*$CJ13</f>
        <v/>
      </c>
      <c r="KA13" s="45">
        <f>$BV13*(1-$HJ13)/1000000*$CK13</f>
        <v/>
      </c>
      <c r="KB13" s="45">
        <f>$BW13*(1-$HJ13)/1000000*$CL13</f>
        <v/>
      </c>
      <c r="KC13" s="45">
        <f>$BX13*(1-$HJ13)/1000000*$CM13</f>
        <v/>
      </c>
      <c r="KD13" s="45">
        <f>$BY13*(1-$HJ13)/1000000*$CN13</f>
        <v/>
      </c>
      <c r="KE13" s="45">
        <f>$CT13*$HL13</f>
        <v/>
      </c>
      <c r="KF13" s="45">
        <f>$CU13*$HL13</f>
        <v/>
      </c>
      <c r="KG13" s="45">
        <f>$CV13*$HL13</f>
        <v/>
      </c>
      <c r="KH13" s="45">
        <f>$CW13*$HL13</f>
        <v/>
      </c>
      <c r="KI13" s="45">
        <f>$CX13*$HL13</f>
        <v/>
      </c>
      <c r="KJ13" s="45">
        <f>IF(1=1,$R13*$HL13+$AH13*$HK13+$AK13,0)</f>
        <v/>
      </c>
      <c r="KK13" s="45">
        <f>IF(2=1,$R13*$HL13+$AH13*$HK13+$AK13,0)</f>
        <v/>
      </c>
      <c r="KL13" s="45">
        <f>IF(3=1,$R13*$HL13+$AH13*$HK13+$AK13,0)</f>
        <v/>
      </c>
      <c r="KM13" s="45">
        <f>IF(4=1,$R13*$HL13+$AH13*$HK13+$AK13,0)</f>
        <v/>
      </c>
      <c r="KN13" s="45">
        <f>IF(5=1,$R13*$HL13+$AH13*$HK13+$AK13,0)</f>
        <v/>
      </c>
      <c r="KO13" s="45">
        <f>$IV13+$JA13+$JF13+$JK13+$JP13+$JU13+$JZ13+$KE13+$KJ13</f>
        <v/>
      </c>
      <c r="KP13" s="45">
        <f>$IW13+$JB13+$JG13+$JL13+$JQ13+$JV13+$KA13+$KF13+$KK13</f>
        <v/>
      </c>
      <c r="KQ13" s="45">
        <f>$IX13+$JC13+$JH13+$JM13+$JR13+$JW13+$KB13+$KG13+$KL13</f>
        <v/>
      </c>
      <c r="KR13" s="45">
        <f>$IY13+$JD13+$JI13+$JN13+$JS13+$JX13+$KC13+$KH13+$KM13</f>
        <v/>
      </c>
      <c r="KS13" s="45">
        <f>$IZ13+$JE13+$JJ13+$JO13+$JT13+$JY13+$KD13+$KI13+$KN13</f>
        <v/>
      </c>
      <c r="KT13" s="45">
        <f>$IL13-$IQ13+$KJ13</f>
        <v/>
      </c>
      <c r="KU13" s="45">
        <f>$IM13-$IR13+$KK13</f>
        <v/>
      </c>
      <c r="KV13" s="45">
        <f>$IN13-$IS13+$KL13</f>
        <v/>
      </c>
      <c r="KW13" s="45">
        <f>$IO13-$IT13+$KM13</f>
        <v/>
      </c>
      <c r="KX13" s="45">
        <f>$IP13-$IU13+$KN13</f>
        <v/>
      </c>
      <c r="KY13" s="45">
        <f>$JA13+$JF13+$JK13+$JP13+$JU13+$JZ13+$KE13</f>
        <v/>
      </c>
      <c r="KZ13" s="45">
        <f>$JB13+$JG13+$JL13+$JQ13+$JV13+$KA13+$KF13</f>
        <v/>
      </c>
      <c r="LA13" s="45">
        <f>$JC13+$JH13+$JM13+$JR13+$JW13+$KB13+$KG13</f>
        <v/>
      </c>
      <c r="LB13" s="45">
        <f>$JD13+$JI13+$JN13+$JS13+$JX13+$KC13+$KH13</f>
        <v/>
      </c>
      <c r="LC13" s="45">
        <f>$JE13+$JJ13+$JO13+$JT13+$JY13+$KD13+$KI13</f>
        <v/>
      </c>
      <c r="LD13" s="45">
        <f>((1&lt;=$AX13)*(1&gt;$AX13-$AY13))*$IG13*$V13*MAX(0,1-(1-$X13)*($AX13-1+1)/$AY13)+((2&lt;=$AX13)*(2&gt;$AX13-$AY13))*$IH13*$V13*MAX(0,1-(1-$X13)*($AX13-2+1)/$AY13)+((3&lt;=$AX13)*(3&gt;$AX13-$AY13))*$II13*$V13*MAX(0,1-(1-$X13)*($AX13-3+1)/$AY13)+((4&lt;=$AX13)*(4&gt;$AX13-$AY13))*$IJ13*$V13*MAX(0,1-(1-$X13)*($AX13-4+1)/$AY13)+((5&lt;=$AX13)*(5&gt;$AX13-$AY13))*$IK13*$V13*MAX(0,1-(1-$X13)*($AX13-5+1)/$AY13)</f>
        <v/>
      </c>
      <c r="LE13" s="45">
        <f>SUMPRODUCT($AZ13:$BD13,$KO13:$KS13)</f>
        <v/>
      </c>
      <c r="LF13" s="45">
        <f>SUM($KO13:$KQ13)</f>
        <v/>
      </c>
      <c r="LG13" s="45">
        <f>SUM($KO13:$KS13)</f>
        <v/>
      </c>
      <c r="LH13" s="45">
        <f>SUMPRODUCT($AZ13:$BD13,$KT13:$KX13,$BJ13:$BN13)+SUMPRODUCT($AZ13:$BD13,$KY13:$LC13,$BO13:$BS13)-$LD13/(1+$AM13)^$AX13</f>
        <v/>
      </c>
      <c r="LI13" s="43">
        <f>$BU13/1000000</f>
        <v/>
      </c>
      <c r="LJ13" s="44">
        <f>IF($LI13&gt;0,$DD13/$LI13,0)</f>
        <v/>
      </c>
      <c r="LK13" s="44">
        <f>IF($LI13&gt;0,$GP13/$LI13,0)</f>
        <v/>
      </c>
      <c r="LL13" s="44">
        <f>IF($LI13&gt;0,$KO13/$LI13,0)</f>
        <v/>
      </c>
      <c r="LM13" s="43">
        <f>$AP13*31536000/1000000</f>
        <v/>
      </c>
      <c r="LN13" s="43">
        <f>$EC13*$LM13</f>
        <v/>
      </c>
      <c r="LO13" s="45">
        <f>$FG13+$FL13+$FQ13+$FV13+$GA13+$GF13</f>
        <v/>
      </c>
      <c r="LP13" s="46">
        <f>IF($LN13*$CJ13&gt;0,MAX(0,($LO13-$CT13)/($LN13*$CJ13)),0)</f>
        <v/>
      </c>
      <c r="LQ13" s="46">
        <f>IF($LN13&gt;0,$LI13/$LN13,0)</f>
        <v/>
      </c>
      <c r="LR13" s="46">
        <f>1/($M13*$AI13)</f>
        <v/>
      </c>
      <c r="LS13" s="43">
        <f>$HR13*$LM13</f>
        <v/>
      </c>
      <c r="LT13" s="45">
        <f>$IV13+$JA13+$JF13+$JK13+$JP13+$JU13</f>
        <v/>
      </c>
      <c r="LU13" s="46">
        <f>IF($LS13*$CJ13&gt;0,$LT13/($LS13*$CJ13),0)</f>
        <v/>
      </c>
      <c r="LV13" s="46">
        <f>IF($LS13&gt;0,$LI13*$HJ13/$LS13,0)</f>
        <v/>
      </c>
      <c r="LW13" s="45">
        <f>$V13*(1-$X13)/$AY13+$Y13*$Z13*$AA13*8760+IF($AC13&gt;0,0,$Y13*$AB13*12)+$V13*$AD13</f>
        <v/>
      </c>
      <c r="LX13" s="46">
        <f>IF($LM13*$CJ13&gt;0,$LW13/($LM13*$CJ13),0)</f>
        <v/>
      </c>
      <c r="LY13" s="44">
        <f>IF($LM13*$LR13&gt;0,$LW13/($LM13*$LR13),0)</f>
        <v/>
      </c>
      <c r="LZ13" s="45">
        <f>$AE13+$AF13*$AG13+IF($AC13&gt;0,$AC13,0)-$CT13</f>
        <v/>
      </c>
      <c r="MA13" s="43">
        <f>IF($CJ13&gt;$LY13,MAX(0,$LZ13)/($CJ13-$LY13)*1000000,"Not reachable")</f>
        <v/>
      </c>
      <c r="MB13" s="47">
        <f>IF(AND(ISNUMBER($MA13),$BU13&gt;0),$MA13/$BU13,"n/a")</f>
        <v/>
      </c>
      <c r="MC13" s="47">
        <f>$B13*MAX(0,$D13-1)*$E13</f>
        <v/>
      </c>
      <c r="MD13" s="45">
        <f>$MC13*$C13</f>
        <v/>
      </c>
      <c r="ME13" s="45">
        <f>$MD13*SUMPRODUCT($AZ13:$BD13,$BO13:$BS13)</f>
        <v/>
      </c>
      <c r="MF13" s="45">
        <f>IF($AO13="Yes",$ME13-$DW13,0)</f>
        <v/>
      </c>
      <c r="MG13" s="45">
        <f>IF($AO13="Yes",$ME13-$HI13,0)</f>
        <v/>
      </c>
      <c r="MH13" s="45">
        <f>IF($AO13="Yes",$ME13-$LH13,0)</f>
        <v/>
      </c>
      <c r="MI13" s="45">
        <f>IF($AO13="Yes",$MD13-$DD13,0)</f>
        <v/>
      </c>
      <c r="MJ13" s="25">
        <f>IF(AND($DW13&lt;=$HI13,$DW13&lt;=$LH13),"Rent the Frontier",IF($HI13&lt;=$LH13,"Own the Frontier","Hybrid"))</f>
        <v/>
      </c>
      <c r="MK13" s="25">
        <f>IF(AND($DT13&lt;=$HF13,$DT13&lt;=$LE13),"Rent the Frontier",IF($HF13&lt;=$LE13,"Own the Frontier","Hybrid"))</f>
        <v/>
      </c>
    </row>
    <row r="14">
      <c r="A14" s="25">
        <f>Sensitivity!A17&amp;" ("&amp;Sensitivity!C17&amp;")"</f>
        <v/>
      </c>
      <c r="B14" s="25">
        <f>Inputs!$B$5</f>
        <v/>
      </c>
      <c r="C14" s="25">
        <f>Inputs!$B$6</f>
        <v/>
      </c>
      <c r="D14" s="25">
        <f>Inputs!$B$7</f>
        <v/>
      </c>
      <c r="E14" s="25">
        <f>Inputs!$B$8</f>
        <v/>
      </c>
      <c r="F14" s="25">
        <f>Inputs!$B$12</f>
        <v/>
      </c>
      <c r="G14" s="25">
        <f>Inputs!$B$13</f>
        <v/>
      </c>
      <c r="H14" s="25">
        <f>Inputs!$B$14</f>
        <v/>
      </c>
      <c r="I14" s="25">
        <f>Inputs!$B$18</f>
        <v/>
      </c>
      <c r="J14" s="25">
        <f>Inputs!$B$19</f>
        <v/>
      </c>
      <c r="K14" s="25">
        <f>Inputs!$B$20</f>
        <v/>
      </c>
      <c r="L14" s="25">
        <f>Inputs!$B$21</f>
        <v/>
      </c>
      <c r="M14" s="25">
        <f>Inputs!$B$22</f>
        <v/>
      </c>
      <c r="N14" s="25">
        <f>Inputs!$B$23</f>
        <v/>
      </c>
      <c r="O14" s="25">
        <f>Inputs!$B$26</f>
        <v/>
      </c>
      <c r="P14" s="25">
        <f>Inputs!$B$27</f>
        <v/>
      </c>
      <c r="Q14" s="25">
        <f>Inputs!$B$28</f>
        <v/>
      </c>
      <c r="R14" s="25">
        <f>Inputs!$B$29</f>
        <v/>
      </c>
      <c r="S14" s="25">
        <f>Inputs!$B$30</f>
        <v/>
      </c>
      <c r="T14" s="25">
        <f>Inputs!$B$31</f>
        <v/>
      </c>
      <c r="U14" s="25">
        <f>Inputs!$B$32</f>
        <v/>
      </c>
      <c r="V14" s="25">
        <f>Inputs!$B$35</f>
        <v/>
      </c>
      <c r="W14" s="25">
        <f>Inputs!$B$36</f>
        <v/>
      </c>
      <c r="X14" s="25">
        <f>MIN(1,Inputs!$B$37*Sensitivity!$D$17)</f>
        <v/>
      </c>
      <c r="Y14" s="25">
        <f>Inputs!$B$38</f>
        <v/>
      </c>
      <c r="Z14" s="25">
        <f>Inputs!$B$39</f>
        <v/>
      </c>
      <c r="AA14" s="25">
        <f>Inputs!$B$40</f>
        <v/>
      </c>
      <c r="AB14" s="25">
        <f>Inputs!$B$41</f>
        <v/>
      </c>
      <c r="AC14" s="25">
        <f>Inputs!$B$42</f>
        <v/>
      </c>
      <c r="AD14" s="25">
        <f>Inputs!$B$43</f>
        <v/>
      </c>
      <c r="AE14" s="25">
        <f>Inputs!$B$44</f>
        <v/>
      </c>
      <c r="AF14" s="25">
        <f>Inputs!$B$45</f>
        <v/>
      </c>
      <c r="AG14" s="25">
        <f>Inputs!$B$46</f>
        <v/>
      </c>
      <c r="AH14" s="25">
        <f>Inputs!$B$47</f>
        <v/>
      </c>
      <c r="AI14" s="25">
        <f>Inputs!$B$48</f>
        <v/>
      </c>
      <c r="AJ14" s="25">
        <f>IF(ISNUMBER(Inputs!$B$51),Inputs!$B$51,"")</f>
        <v/>
      </c>
      <c r="AK14" s="25">
        <f>Inputs!$B$52</f>
        <v/>
      </c>
      <c r="AL14" s="25">
        <f>Inputs!$B$55</f>
        <v/>
      </c>
      <c r="AM14" s="25">
        <f>Inputs!$B$56</f>
        <v/>
      </c>
      <c r="AN14" s="25">
        <f>Inputs!$B$57</f>
        <v/>
      </c>
      <c r="AO14" s="25">
        <f>Inputs!$B$58</f>
        <v/>
      </c>
      <c r="AP14" s="25">
        <f>Inputs!$B$61</f>
        <v/>
      </c>
      <c r="AQ14" s="25">
        <f>Inputs!$B$62</f>
        <v/>
      </c>
      <c r="AR14" s="25">
        <f>1</f>
        <v/>
      </c>
      <c r="AS14" s="25" t="n">
        <v>1</v>
      </c>
      <c r="AT14" s="25" t="n">
        <v>2</v>
      </c>
      <c r="AU14" s="25" t="n">
        <v>3</v>
      </c>
      <c r="AV14" s="25" t="n">
        <v>4</v>
      </c>
      <c r="AW14" s="25" t="n">
        <v>5</v>
      </c>
      <c r="AX14" s="25">
        <f>MIN(5,MAX(1,ROUND($AL14,0)))</f>
        <v/>
      </c>
      <c r="AY14" s="25">
        <f>MAX(1,ROUND($W14,0))</f>
        <v/>
      </c>
      <c r="AZ14" s="25">
        <f>IF(1&lt;=$AX14,1,0)</f>
        <v/>
      </c>
      <c r="BA14" s="25">
        <f>IF(2&lt;=$AX14,1,0)</f>
        <v/>
      </c>
      <c r="BB14" s="25">
        <f>IF(3&lt;=$AX14,1,0)</f>
        <v/>
      </c>
      <c r="BC14" s="25">
        <f>IF(4&lt;=$AX14,1,0)</f>
        <v/>
      </c>
      <c r="BD14" s="25">
        <f>IF(5&lt;=$AX14,1,0)</f>
        <v/>
      </c>
      <c r="BE14" s="52">
        <f>(1+$AN14)^(1-1)</f>
        <v/>
      </c>
      <c r="BF14" s="52">
        <f>(1+$AN14)^(2-1)</f>
        <v/>
      </c>
      <c r="BG14" s="52">
        <f>(1+$AN14)^(3-1)</f>
        <v/>
      </c>
      <c r="BH14" s="52">
        <f>(1+$AN14)^(4-1)</f>
        <v/>
      </c>
      <c r="BI14" s="52">
        <f>(1+$AN14)^(5-1)</f>
        <v/>
      </c>
      <c r="BJ14" s="53">
        <f>1/(1+$AM14)^(1-1)</f>
        <v/>
      </c>
      <c r="BK14" s="53">
        <f>1/(1+$AM14)^(2-1)</f>
        <v/>
      </c>
      <c r="BL14" s="53">
        <f>1/(1+$AM14)^(3-1)</f>
        <v/>
      </c>
      <c r="BM14" s="53">
        <f>1/(1+$AM14)^(4-1)</f>
        <v/>
      </c>
      <c r="BN14" s="53">
        <f>1/(1+$AM14)^(5-1)</f>
        <v/>
      </c>
      <c r="BO14" s="53">
        <f>1/(1+$AM14)^1</f>
        <v/>
      </c>
      <c r="BP14" s="53">
        <f>1/(1+$AM14)^2</f>
        <v/>
      </c>
      <c r="BQ14" s="53">
        <f>1/(1+$AM14)^3</f>
        <v/>
      </c>
      <c r="BR14" s="53">
        <f>1/(1+$AM14)^4</f>
        <v/>
      </c>
      <c r="BS14" s="53">
        <f>1/(1+$AM14)^5</f>
        <v/>
      </c>
      <c r="BT14" s="43">
        <f>IF(AND($I14="Direct monthly estimate",$J14&gt;0),$J14,$D14*$K14*$L14)</f>
        <v/>
      </c>
      <c r="BU14" s="43">
        <f>$BT14*$B14*12*(1+$N14)^(1-1)</f>
        <v/>
      </c>
      <c r="BV14" s="43">
        <f>$BT14*$B14*12*(1+$N14)^(2-1)</f>
        <v/>
      </c>
      <c r="BW14" s="43">
        <f>$BT14*$B14*12*(1+$N14)^(3-1)</f>
        <v/>
      </c>
      <c r="BX14" s="43">
        <f>$BT14*$B14*12*(1+$N14)^(4-1)</f>
        <v/>
      </c>
      <c r="BY14" s="43">
        <f>$BT14*$B14*12*(1+$N14)^(5-1)</f>
        <v/>
      </c>
      <c r="BZ14" s="43">
        <f>$BU14/31536000*$M14</f>
        <v/>
      </c>
      <c r="CA14" s="43">
        <f>$BV14/31536000*$M14</f>
        <v/>
      </c>
      <c r="CB14" s="43">
        <f>$BW14/31536000*$M14</f>
        <v/>
      </c>
      <c r="CC14" s="43">
        <f>$BX14/31536000*$M14</f>
        <v/>
      </c>
      <c r="CD14" s="43">
        <f>$BY14/31536000*$M14</f>
        <v/>
      </c>
      <c r="CE14" s="43">
        <f>$BZ14*$AI14</f>
        <v/>
      </c>
      <c r="CF14" s="43">
        <f>$CA14*$AI14</f>
        <v/>
      </c>
      <c r="CG14" s="43">
        <f>$CB14*$AI14</f>
        <v/>
      </c>
      <c r="CH14" s="43">
        <f>$CC14*$AI14</f>
        <v/>
      </c>
      <c r="CI14" s="43">
        <f>$CD14*$AI14</f>
        <v/>
      </c>
      <c r="CJ14" s="44">
        <f>$O14*(1-$Q14)*(1-$P14)^(1-1)</f>
        <v/>
      </c>
      <c r="CK14" s="44">
        <f>$O14*(1-$Q14)*(1-$P14)^(2-1)</f>
        <v/>
      </c>
      <c r="CL14" s="44">
        <f>$O14*(1-$Q14)*(1-$P14)^(3-1)</f>
        <v/>
      </c>
      <c r="CM14" s="44">
        <f>$O14*(1-$Q14)*(1-$P14)^(4-1)</f>
        <v/>
      </c>
      <c r="CN14" s="44">
        <f>$O14*(1-$Q14)*(1-$P14)^(5-1)</f>
        <v/>
      </c>
      <c r="CO14" s="45">
        <f>$BU14/1000000*$CJ14</f>
        <v/>
      </c>
      <c r="CP14" s="45">
        <f>$BV14/1000000*$CK14</f>
        <v/>
      </c>
      <c r="CQ14" s="45">
        <f>$BW14/1000000*$CL14</f>
        <v/>
      </c>
      <c r="CR14" s="45">
        <f>$BX14/1000000*$CM14</f>
        <v/>
      </c>
      <c r="CS14" s="45">
        <f>$BY14/1000000*$CN14</f>
        <v/>
      </c>
      <c r="CT14" s="45">
        <f>($T14*$U14+$S14)*$BE14</f>
        <v/>
      </c>
      <c r="CU14" s="45">
        <f>($T14*$U14+$S14)*$BF14</f>
        <v/>
      </c>
      <c r="CV14" s="45">
        <f>($T14*$U14+$S14)*$BG14</f>
        <v/>
      </c>
      <c r="CW14" s="45">
        <f>($T14*$U14+$S14)*$BH14</f>
        <v/>
      </c>
      <c r="CX14" s="45">
        <f>($T14*$U14+$S14)*$BI14</f>
        <v/>
      </c>
      <c r="CY14" s="45">
        <f>IF(1=1,$R14,0)</f>
        <v/>
      </c>
      <c r="CZ14" s="45">
        <f>IF(2=1,$R14,0)</f>
        <v/>
      </c>
      <c r="DA14" s="45">
        <f>IF(3=1,$R14,0)</f>
        <v/>
      </c>
      <c r="DB14" s="45">
        <f>IF(4=1,$R14,0)</f>
        <v/>
      </c>
      <c r="DC14" s="45">
        <f>IF(5=1,$R14,0)</f>
        <v/>
      </c>
      <c r="DD14" s="45">
        <f>$CO14+$CT14+$CY14</f>
        <v/>
      </c>
      <c r="DE14" s="45">
        <f>$CP14+$CU14+$CZ14</f>
        <v/>
      </c>
      <c r="DF14" s="45">
        <f>$CQ14+$CV14+$DA14</f>
        <v/>
      </c>
      <c r="DG14" s="45">
        <f>$CR14+$CW14+$DB14</f>
        <v/>
      </c>
      <c r="DH14" s="45">
        <f>$CS14+$CX14+$DC14</f>
        <v/>
      </c>
      <c r="DI14" s="45">
        <f>$CY14</f>
        <v/>
      </c>
      <c r="DJ14" s="45">
        <f>$CZ14</f>
        <v/>
      </c>
      <c r="DK14" s="45">
        <f>$DA14</f>
        <v/>
      </c>
      <c r="DL14" s="45">
        <f>$DB14</f>
        <v/>
      </c>
      <c r="DM14" s="45">
        <f>$DC14</f>
        <v/>
      </c>
      <c r="DN14" s="45">
        <f>$CO14+$CT14</f>
        <v/>
      </c>
      <c r="DO14" s="45">
        <f>$CP14+$CU14</f>
        <v/>
      </c>
      <c r="DP14" s="45">
        <f>$CQ14+$CV14</f>
        <v/>
      </c>
      <c r="DQ14" s="45">
        <f>$CR14+$CW14</f>
        <v/>
      </c>
      <c r="DR14" s="45">
        <f>$CS14+$CX14</f>
        <v/>
      </c>
      <c r="DS14" s="45">
        <f>0</f>
        <v/>
      </c>
      <c r="DT14" s="45">
        <f>SUMPRODUCT($AZ14:$BD14,$DD14:$DH14)</f>
        <v/>
      </c>
      <c r="DU14" s="45">
        <f>SUM($DD14:$DF14)</f>
        <v/>
      </c>
      <c r="DV14" s="45">
        <f>SUM($DD14:$DH14)</f>
        <v/>
      </c>
      <c r="DW14" s="45">
        <f>SUMPRODUCT($AZ14:$BD14,$DI14:$DM14,$BJ14:$BN14)+SUMPRODUCT($AZ14:$BD14,$DN14:$DR14,$BO14:$BS14)-$DS14/(1+$AM14)^$AX14</f>
        <v/>
      </c>
      <c r="DX14" s="43">
        <f>IF($CE14&gt;0,ROUNDUP($CE14/$AP14,0),0)</f>
        <v/>
      </c>
      <c r="DY14" s="43">
        <f>IF($CF14&gt;0,ROUNDUP($CF14/$AP14,0),0)</f>
        <v/>
      </c>
      <c r="DZ14" s="43">
        <f>IF($CG14&gt;0,ROUNDUP($CG14/$AP14,0),0)</f>
        <v/>
      </c>
      <c r="EA14" s="43">
        <f>IF($CH14&gt;0,ROUNDUP($CH14/$AP14,0),0)</f>
        <v/>
      </c>
      <c r="EB14" s="43">
        <f>IF($CI14&gt;0,ROUNDUP($CI14/$AP14,0),0)</f>
        <v/>
      </c>
      <c r="EC14" s="43">
        <f>MAX($DX14,0)</f>
        <v/>
      </c>
      <c r="ED14" s="43">
        <f>MAX($DY14,$EC14)</f>
        <v/>
      </c>
      <c r="EE14" s="43">
        <f>MAX($DZ14,$ED14)</f>
        <v/>
      </c>
      <c r="EF14" s="43">
        <f>MAX($EA14,$EE14)</f>
        <v/>
      </c>
      <c r="EG14" s="43">
        <f>MAX($EB14,$EF14)</f>
        <v/>
      </c>
      <c r="EH14" s="43">
        <f>$EC14-0</f>
        <v/>
      </c>
      <c r="EI14" s="43">
        <f>$ED14-$EC14</f>
        <v/>
      </c>
      <c r="EJ14" s="43">
        <f>$EE14-$ED14</f>
        <v/>
      </c>
      <c r="EK14" s="43">
        <f>$EF14-$EE14</f>
        <v/>
      </c>
      <c r="EL14" s="43">
        <f>$EG14-$EF14</f>
        <v/>
      </c>
      <c r="EM14" s="43">
        <f>0</f>
        <v/>
      </c>
      <c r="EN14" s="43">
        <f>(1+$AY14=2)*$ER14</f>
        <v/>
      </c>
      <c r="EO14" s="43">
        <f>(1+$AY14=3)*$ER14+(2+$AY14=3)*$ES14</f>
        <v/>
      </c>
      <c r="EP14" s="43">
        <f>(1+$AY14=4)*$ER14+(2+$AY14=4)*$ES14+(3+$AY14=4)*$ET14</f>
        <v/>
      </c>
      <c r="EQ14" s="43">
        <f>(1+$AY14=5)*$ER14+(2+$AY14=5)*$ES14+(3+$AY14=5)*$ET14+(4+$AY14=5)*$EU14</f>
        <v/>
      </c>
      <c r="ER14" s="43">
        <f>$EH14+$EM14</f>
        <v/>
      </c>
      <c r="ES14" s="43">
        <f>$EI14+$EN14</f>
        <v/>
      </c>
      <c r="ET14" s="43">
        <f>$EJ14+$EO14</f>
        <v/>
      </c>
      <c r="EU14" s="43">
        <f>$EK14+$EP14</f>
        <v/>
      </c>
      <c r="EV14" s="43">
        <f>$EL14+$EQ14</f>
        <v/>
      </c>
      <c r="EW14" s="45">
        <f>$ER14*$V14</f>
        <v/>
      </c>
      <c r="EX14" s="45">
        <f>$ES14*$V14</f>
        <v/>
      </c>
      <c r="EY14" s="45">
        <f>$ET14*$V14</f>
        <v/>
      </c>
      <c r="EZ14" s="45">
        <f>$EU14*$V14</f>
        <v/>
      </c>
      <c r="FA14" s="45">
        <f>$EV14*$V14</f>
        <v/>
      </c>
      <c r="FB14" s="45">
        <f>$EM14*$V14*$X14</f>
        <v/>
      </c>
      <c r="FC14" s="45">
        <f>$EN14*$V14*$X14</f>
        <v/>
      </c>
      <c r="FD14" s="45">
        <f>$EO14*$V14*$X14</f>
        <v/>
      </c>
      <c r="FE14" s="45">
        <f>$EP14*$V14*$X14</f>
        <v/>
      </c>
      <c r="FF14" s="45">
        <f>$EQ14*$V14*$X14</f>
        <v/>
      </c>
      <c r="FG14" s="45">
        <f>$EC14*$V14*(1-$X14)/$AY14</f>
        <v/>
      </c>
      <c r="FH14" s="45">
        <f>$ED14*$V14*(1-$X14)/$AY14</f>
        <v/>
      </c>
      <c r="FI14" s="45">
        <f>$EE14*$V14*(1-$X14)/$AY14</f>
        <v/>
      </c>
      <c r="FJ14" s="45">
        <f>$EF14*$V14*(1-$X14)/$AY14</f>
        <v/>
      </c>
      <c r="FK14" s="45">
        <f>$EG14*$V14*(1-$X14)/$AY14</f>
        <v/>
      </c>
      <c r="FL14" s="45">
        <f>$EC14*$Y14*$Z14*$AA14*8760*$BE14</f>
        <v/>
      </c>
      <c r="FM14" s="45">
        <f>$ED14*$Y14*$Z14*$AA14*8760*$BF14</f>
        <v/>
      </c>
      <c r="FN14" s="45">
        <f>$EE14*$Y14*$Z14*$AA14*8760*$BG14</f>
        <v/>
      </c>
      <c r="FO14" s="45">
        <f>$EF14*$Y14*$Z14*$AA14*8760*$BH14</f>
        <v/>
      </c>
      <c r="FP14" s="45">
        <f>$EG14*$Y14*$Z14*$AA14*8760*$BI14</f>
        <v/>
      </c>
      <c r="FQ14" s="45">
        <f>IF($AC14&gt;0,$AC14,$EC14*$Y14*$AB14*12)*$BE14</f>
        <v/>
      </c>
      <c r="FR14" s="45">
        <f>IF($AC14&gt;0,$AC14,$ED14*$Y14*$AB14*12)*$BF14</f>
        <v/>
      </c>
      <c r="FS14" s="45">
        <f>IF($AC14&gt;0,$AC14,$EE14*$Y14*$AB14*12)*$BG14</f>
        <v/>
      </c>
      <c r="FT14" s="45">
        <f>IF($AC14&gt;0,$AC14,$EF14*$Y14*$AB14*12)*$BH14</f>
        <v/>
      </c>
      <c r="FU14" s="45">
        <f>IF($AC14&gt;0,$AC14,$EG14*$Y14*$AB14*12)*$BI14</f>
        <v/>
      </c>
      <c r="FV14" s="45">
        <f>$EC14*$V14*$AD14*$BE14</f>
        <v/>
      </c>
      <c r="FW14" s="45">
        <f>$ED14*$V14*$AD14*$BF14</f>
        <v/>
      </c>
      <c r="FX14" s="45">
        <f>$EE14*$V14*$AD14*$BG14</f>
        <v/>
      </c>
      <c r="FY14" s="45">
        <f>$EF14*$V14*$AD14*$BH14</f>
        <v/>
      </c>
      <c r="FZ14" s="45">
        <f>$EG14*$V14*$AD14*$BI14</f>
        <v/>
      </c>
      <c r="GA14" s="45">
        <f>$AE14*$BE14</f>
        <v/>
      </c>
      <c r="GB14" s="45">
        <f>$AE14*$BF14</f>
        <v/>
      </c>
      <c r="GC14" s="45">
        <f>$AE14*$BG14</f>
        <v/>
      </c>
      <c r="GD14" s="45">
        <f>$AE14*$BH14</f>
        <v/>
      </c>
      <c r="GE14" s="45">
        <f>$AE14*$BI14</f>
        <v/>
      </c>
      <c r="GF14" s="45">
        <f>$AF14*$AG14*$BE14</f>
        <v/>
      </c>
      <c r="GG14" s="45">
        <f>$AF14*$AG14*$BF14</f>
        <v/>
      </c>
      <c r="GH14" s="45">
        <f>$AF14*$AG14*$BG14</f>
        <v/>
      </c>
      <c r="GI14" s="45">
        <f>$AF14*$AG14*$BH14</f>
        <v/>
      </c>
      <c r="GJ14" s="45">
        <f>$AF14*$AG14*$BI14</f>
        <v/>
      </c>
      <c r="GK14" s="45">
        <f>IF(1=1,$AH14,0)</f>
        <v/>
      </c>
      <c r="GL14" s="45">
        <f>IF(2=1,$AH14,0)</f>
        <v/>
      </c>
      <c r="GM14" s="45">
        <f>IF(3=1,$AH14,0)</f>
        <v/>
      </c>
      <c r="GN14" s="45">
        <f>IF(4=1,$AH14,0)</f>
        <v/>
      </c>
      <c r="GO14" s="45">
        <f>IF(5=1,$AH14,0)</f>
        <v/>
      </c>
      <c r="GP14" s="45">
        <f>$FG14+$FL14+$FQ14+$FV14+$GA14+$GF14+$GK14</f>
        <v/>
      </c>
      <c r="GQ14" s="45">
        <f>$FH14+$FM14+$FR14+$FW14+$GB14+$GG14+$GL14</f>
        <v/>
      </c>
      <c r="GR14" s="45">
        <f>$FI14+$FN14+$FS14+$FX14+$GC14+$GH14+$GM14</f>
        <v/>
      </c>
      <c r="GS14" s="45">
        <f>$FJ14+$FO14+$FT14+$FY14+$GD14+$GI14+$GN14</f>
        <v/>
      </c>
      <c r="GT14" s="45">
        <f>$FK14+$FP14+$FU14+$FZ14+$GE14+$GJ14+$GO14</f>
        <v/>
      </c>
      <c r="GU14" s="45">
        <f>$EW14-$FB14+$GK14</f>
        <v/>
      </c>
      <c r="GV14" s="45">
        <f>$EX14-$FC14+$GL14</f>
        <v/>
      </c>
      <c r="GW14" s="45">
        <f>$EY14-$FD14+$GM14</f>
        <v/>
      </c>
      <c r="GX14" s="45">
        <f>$EZ14-$FE14+$GN14</f>
        <v/>
      </c>
      <c r="GY14" s="45">
        <f>$FA14-$FF14+$GO14</f>
        <v/>
      </c>
      <c r="GZ14" s="45">
        <f>$FL14+$FQ14+$FV14+$GA14+$GF14</f>
        <v/>
      </c>
      <c r="HA14" s="45">
        <f>$FM14+$FR14+$FW14+$GB14+$GG14</f>
        <v/>
      </c>
      <c r="HB14" s="45">
        <f>$FN14+$FS14+$FX14+$GC14+$GH14</f>
        <v/>
      </c>
      <c r="HC14" s="45">
        <f>$FO14+$FT14+$FY14+$GD14+$GI14</f>
        <v/>
      </c>
      <c r="HD14" s="45">
        <f>$FP14+$FU14+$FZ14+$GE14+$GJ14</f>
        <v/>
      </c>
      <c r="HE14" s="45">
        <f>((1&lt;=$AX14)*(1&gt;$AX14-$AY14))*$ER14*$V14*MAX(0,1-(1-$X14)*($AX14-1+1)/$AY14)+((2&lt;=$AX14)*(2&gt;$AX14-$AY14))*$ES14*$V14*MAX(0,1-(1-$X14)*($AX14-2+1)/$AY14)+((3&lt;=$AX14)*(3&gt;$AX14-$AY14))*$ET14*$V14*MAX(0,1-(1-$X14)*($AX14-3+1)/$AY14)+((4&lt;=$AX14)*(4&gt;$AX14-$AY14))*$EU14*$V14*MAX(0,1-(1-$X14)*($AX14-4+1)/$AY14)+((5&lt;=$AX14)*(5&gt;$AX14-$AY14))*$EV14*$V14*MAX(0,1-(1-$X14)*($AX14-5+1)/$AY14)</f>
        <v/>
      </c>
      <c r="HF14" s="45">
        <f>SUMPRODUCT($AZ14:$BD14,$GP14:$GT14)</f>
        <v/>
      </c>
      <c r="HG14" s="45">
        <f>SUM($GP14:$GR14)</f>
        <v/>
      </c>
      <c r="HH14" s="45">
        <f>SUM($GP14:$GT14)</f>
        <v/>
      </c>
      <c r="HI14" s="45">
        <f>SUMPRODUCT($AZ14:$BD14,$GU14:$GY14,$BJ14:$BN14)+SUMPRODUCT($AZ14:$BD14,$GZ14:$HD14,$BO14:$BS14)-$HE14/(1+$AM14)^$AX14</f>
        <v/>
      </c>
      <c r="HJ14" s="46">
        <f>MIN(1,MAX(0,IF(ISNUMBER($AJ14),$AJ14,IF($F14+$G14+$H14&gt;0,($G14+$H14)/($F14+$G14+$H14),0))*$AR14))</f>
        <v/>
      </c>
      <c r="HK14" s="25">
        <f>IF($HJ14&gt;0,1,0)</f>
        <v/>
      </c>
      <c r="HL14" s="25">
        <f>IF($HJ14&lt;1,1,0)</f>
        <v/>
      </c>
      <c r="HM14" s="43">
        <f>IF($CE14*$HJ14&gt;0,ROUNDUP($CE14*$HJ14/$AP14,0),0)</f>
        <v/>
      </c>
      <c r="HN14" s="43">
        <f>IF($CF14*$HJ14&gt;0,ROUNDUP($CF14*$HJ14/$AP14,0),0)</f>
        <v/>
      </c>
      <c r="HO14" s="43">
        <f>IF($CG14*$HJ14&gt;0,ROUNDUP($CG14*$HJ14/$AP14,0),0)</f>
        <v/>
      </c>
      <c r="HP14" s="43">
        <f>IF($CH14*$HJ14&gt;0,ROUNDUP($CH14*$HJ14/$AP14,0),0)</f>
        <v/>
      </c>
      <c r="HQ14" s="43">
        <f>IF($CI14*$HJ14&gt;0,ROUNDUP($CI14*$HJ14/$AP14,0),0)</f>
        <v/>
      </c>
      <c r="HR14" s="43">
        <f>MAX($HM14,0)</f>
        <v/>
      </c>
      <c r="HS14" s="43">
        <f>MAX($HN14,$HR14)</f>
        <v/>
      </c>
      <c r="HT14" s="43">
        <f>MAX($HO14,$HS14)</f>
        <v/>
      </c>
      <c r="HU14" s="43">
        <f>MAX($HP14,$HT14)</f>
        <v/>
      </c>
      <c r="HV14" s="43">
        <f>MAX($HQ14,$HU14)</f>
        <v/>
      </c>
      <c r="HW14" s="43">
        <f>$HR14-0</f>
        <v/>
      </c>
      <c r="HX14" s="43">
        <f>$HS14-$HR14</f>
        <v/>
      </c>
      <c r="HY14" s="43">
        <f>$HT14-$HS14</f>
        <v/>
      </c>
      <c r="HZ14" s="43">
        <f>$HU14-$HT14</f>
        <v/>
      </c>
      <c r="IA14" s="43">
        <f>$HV14-$HU14</f>
        <v/>
      </c>
      <c r="IB14" s="43">
        <f>0</f>
        <v/>
      </c>
      <c r="IC14" s="43">
        <f>(1+$AY14=2)*$IG14</f>
        <v/>
      </c>
      <c r="ID14" s="43">
        <f>(1+$AY14=3)*$IG14+(2+$AY14=3)*$IH14</f>
        <v/>
      </c>
      <c r="IE14" s="43">
        <f>(1+$AY14=4)*$IG14+(2+$AY14=4)*$IH14+(3+$AY14=4)*$II14</f>
        <v/>
      </c>
      <c r="IF14" s="43">
        <f>(1+$AY14=5)*$IG14+(2+$AY14=5)*$IH14+(3+$AY14=5)*$II14+(4+$AY14=5)*$IJ14</f>
        <v/>
      </c>
      <c r="IG14" s="43">
        <f>$HW14+$IB14</f>
        <v/>
      </c>
      <c r="IH14" s="43">
        <f>$HX14+$IC14</f>
        <v/>
      </c>
      <c r="II14" s="43">
        <f>$HY14+$ID14</f>
        <v/>
      </c>
      <c r="IJ14" s="43">
        <f>$HZ14+$IE14</f>
        <v/>
      </c>
      <c r="IK14" s="43">
        <f>$IA14+$IF14</f>
        <v/>
      </c>
      <c r="IL14" s="45">
        <f>$IG14*$V14</f>
        <v/>
      </c>
      <c r="IM14" s="45">
        <f>$IH14*$V14</f>
        <v/>
      </c>
      <c r="IN14" s="45">
        <f>$II14*$V14</f>
        <v/>
      </c>
      <c r="IO14" s="45">
        <f>$IJ14*$V14</f>
        <v/>
      </c>
      <c r="IP14" s="45">
        <f>$IK14*$V14</f>
        <v/>
      </c>
      <c r="IQ14" s="45">
        <f>$IB14*$V14*$X14</f>
        <v/>
      </c>
      <c r="IR14" s="45">
        <f>$IC14*$V14*$X14</f>
        <v/>
      </c>
      <c r="IS14" s="45">
        <f>$ID14*$V14*$X14</f>
        <v/>
      </c>
      <c r="IT14" s="45">
        <f>$IE14*$V14*$X14</f>
        <v/>
      </c>
      <c r="IU14" s="45">
        <f>$IF14*$V14*$X14</f>
        <v/>
      </c>
      <c r="IV14" s="45">
        <f>$HR14*$V14*(1-$X14)/$AY14</f>
        <v/>
      </c>
      <c r="IW14" s="45">
        <f>$HS14*$V14*(1-$X14)/$AY14</f>
        <v/>
      </c>
      <c r="IX14" s="45">
        <f>$HT14*$V14*(1-$X14)/$AY14</f>
        <v/>
      </c>
      <c r="IY14" s="45">
        <f>$HU14*$V14*(1-$X14)/$AY14</f>
        <v/>
      </c>
      <c r="IZ14" s="45">
        <f>$HV14*$V14*(1-$X14)/$AY14</f>
        <v/>
      </c>
      <c r="JA14" s="45">
        <f>$HR14*$Y14*$Z14*$AA14*8760*$BE14</f>
        <v/>
      </c>
      <c r="JB14" s="45">
        <f>$HS14*$Y14*$Z14*$AA14*8760*$BF14</f>
        <v/>
      </c>
      <c r="JC14" s="45">
        <f>$HT14*$Y14*$Z14*$AA14*8760*$BG14</f>
        <v/>
      </c>
      <c r="JD14" s="45">
        <f>$HU14*$Y14*$Z14*$AA14*8760*$BH14</f>
        <v/>
      </c>
      <c r="JE14" s="45">
        <f>$HV14*$Y14*$Z14*$AA14*8760*$BI14</f>
        <v/>
      </c>
      <c r="JF14" s="45">
        <f>IF($AC14&gt;0,$AC14*$HK14,$HR14*$Y14*$AB14*12)*$BE14</f>
        <v/>
      </c>
      <c r="JG14" s="45">
        <f>IF($AC14&gt;0,$AC14*$HK14,$HS14*$Y14*$AB14*12)*$BF14</f>
        <v/>
      </c>
      <c r="JH14" s="45">
        <f>IF($AC14&gt;0,$AC14*$HK14,$HT14*$Y14*$AB14*12)*$BG14</f>
        <v/>
      </c>
      <c r="JI14" s="45">
        <f>IF($AC14&gt;0,$AC14*$HK14,$HU14*$Y14*$AB14*12)*$BH14</f>
        <v/>
      </c>
      <c r="JJ14" s="45">
        <f>IF($AC14&gt;0,$AC14*$HK14,$HV14*$Y14*$AB14*12)*$BI14</f>
        <v/>
      </c>
      <c r="JK14" s="45">
        <f>$HR14*$V14*$AD14*$BE14</f>
        <v/>
      </c>
      <c r="JL14" s="45">
        <f>$HS14*$V14*$AD14*$BF14</f>
        <v/>
      </c>
      <c r="JM14" s="45">
        <f>$HT14*$V14*$AD14*$BG14</f>
        <v/>
      </c>
      <c r="JN14" s="45">
        <f>$HU14*$V14*$AD14*$BH14</f>
        <v/>
      </c>
      <c r="JO14" s="45">
        <f>$HV14*$V14*$AD14*$BI14</f>
        <v/>
      </c>
      <c r="JP14" s="45">
        <f>$AE14*$BE14*$HK14</f>
        <v/>
      </c>
      <c r="JQ14" s="45">
        <f>$AE14*$BF14*$HK14</f>
        <v/>
      </c>
      <c r="JR14" s="45">
        <f>$AE14*$BG14*$HK14</f>
        <v/>
      </c>
      <c r="JS14" s="45">
        <f>$AE14*$BH14*$HK14</f>
        <v/>
      </c>
      <c r="JT14" s="45">
        <f>$AE14*$BI14*$HK14</f>
        <v/>
      </c>
      <c r="JU14" s="45">
        <f>$AQ14*$AG14*$BE14*$HK14</f>
        <v/>
      </c>
      <c r="JV14" s="45">
        <f>$AQ14*$AG14*$BF14*$HK14</f>
        <v/>
      </c>
      <c r="JW14" s="45">
        <f>$AQ14*$AG14*$BG14*$HK14</f>
        <v/>
      </c>
      <c r="JX14" s="45">
        <f>$AQ14*$AG14*$BH14*$HK14</f>
        <v/>
      </c>
      <c r="JY14" s="45">
        <f>$AQ14*$AG14*$BI14*$HK14</f>
        <v/>
      </c>
      <c r="JZ14" s="45">
        <f>$BU14*(1-$HJ14)/1000000*$CJ14</f>
        <v/>
      </c>
      <c r="KA14" s="45">
        <f>$BV14*(1-$HJ14)/1000000*$CK14</f>
        <v/>
      </c>
      <c r="KB14" s="45">
        <f>$BW14*(1-$HJ14)/1000000*$CL14</f>
        <v/>
      </c>
      <c r="KC14" s="45">
        <f>$BX14*(1-$HJ14)/1000000*$CM14</f>
        <v/>
      </c>
      <c r="KD14" s="45">
        <f>$BY14*(1-$HJ14)/1000000*$CN14</f>
        <v/>
      </c>
      <c r="KE14" s="45">
        <f>$CT14*$HL14</f>
        <v/>
      </c>
      <c r="KF14" s="45">
        <f>$CU14*$HL14</f>
        <v/>
      </c>
      <c r="KG14" s="45">
        <f>$CV14*$HL14</f>
        <v/>
      </c>
      <c r="KH14" s="45">
        <f>$CW14*$HL14</f>
        <v/>
      </c>
      <c r="KI14" s="45">
        <f>$CX14*$HL14</f>
        <v/>
      </c>
      <c r="KJ14" s="45">
        <f>IF(1=1,$R14*$HL14+$AH14*$HK14+$AK14,0)</f>
        <v/>
      </c>
      <c r="KK14" s="45">
        <f>IF(2=1,$R14*$HL14+$AH14*$HK14+$AK14,0)</f>
        <v/>
      </c>
      <c r="KL14" s="45">
        <f>IF(3=1,$R14*$HL14+$AH14*$HK14+$AK14,0)</f>
        <v/>
      </c>
      <c r="KM14" s="45">
        <f>IF(4=1,$R14*$HL14+$AH14*$HK14+$AK14,0)</f>
        <v/>
      </c>
      <c r="KN14" s="45">
        <f>IF(5=1,$R14*$HL14+$AH14*$HK14+$AK14,0)</f>
        <v/>
      </c>
      <c r="KO14" s="45">
        <f>$IV14+$JA14+$JF14+$JK14+$JP14+$JU14+$JZ14+$KE14+$KJ14</f>
        <v/>
      </c>
      <c r="KP14" s="45">
        <f>$IW14+$JB14+$JG14+$JL14+$JQ14+$JV14+$KA14+$KF14+$KK14</f>
        <v/>
      </c>
      <c r="KQ14" s="45">
        <f>$IX14+$JC14+$JH14+$JM14+$JR14+$JW14+$KB14+$KG14+$KL14</f>
        <v/>
      </c>
      <c r="KR14" s="45">
        <f>$IY14+$JD14+$JI14+$JN14+$JS14+$JX14+$KC14+$KH14+$KM14</f>
        <v/>
      </c>
      <c r="KS14" s="45">
        <f>$IZ14+$JE14+$JJ14+$JO14+$JT14+$JY14+$KD14+$KI14+$KN14</f>
        <v/>
      </c>
      <c r="KT14" s="45">
        <f>$IL14-$IQ14+$KJ14</f>
        <v/>
      </c>
      <c r="KU14" s="45">
        <f>$IM14-$IR14+$KK14</f>
        <v/>
      </c>
      <c r="KV14" s="45">
        <f>$IN14-$IS14+$KL14</f>
        <v/>
      </c>
      <c r="KW14" s="45">
        <f>$IO14-$IT14+$KM14</f>
        <v/>
      </c>
      <c r="KX14" s="45">
        <f>$IP14-$IU14+$KN14</f>
        <v/>
      </c>
      <c r="KY14" s="45">
        <f>$JA14+$JF14+$JK14+$JP14+$JU14+$JZ14+$KE14</f>
        <v/>
      </c>
      <c r="KZ14" s="45">
        <f>$JB14+$JG14+$JL14+$JQ14+$JV14+$KA14+$KF14</f>
        <v/>
      </c>
      <c r="LA14" s="45">
        <f>$JC14+$JH14+$JM14+$JR14+$JW14+$KB14+$KG14</f>
        <v/>
      </c>
      <c r="LB14" s="45">
        <f>$JD14+$JI14+$JN14+$JS14+$JX14+$KC14+$KH14</f>
        <v/>
      </c>
      <c r="LC14" s="45">
        <f>$JE14+$JJ14+$JO14+$JT14+$JY14+$KD14+$KI14</f>
        <v/>
      </c>
      <c r="LD14" s="45">
        <f>((1&lt;=$AX14)*(1&gt;$AX14-$AY14))*$IG14*$V14*MAX(0,1-(1-$X14)*($AX14-1+1)/$AY14)+((2&lt;=$AX14)*(2&gt;$AX14-$AY14))*$IH14*$V14*MAX(0,1-(1-$X14)*($AX14-2+1)/$AY14)+((3&lt;=$AX14)*(3&gt;$AX14-$AY14))*$II14*$V14*MAX(0,1-(1-$X14)*($AX14-3+1)/$AY14)+((4&lt;=$AX14)*(4&gt;$AX14-$AY14))*$IJ14*$V14*MAX(0,1-(1-$X14)*($AX14-4+1)/$AY14)+((5&lt;=$AX14)*(5&gt;$AX14-$AY14))*$IK14*$V14*MAX(0,1-(1-$X14)*($AX14-5+1)/$AY14)</f>
        <v/>
      </c>
      <c r="LE14" s="45">
        <f>SUMPRODUCT($AZ14:$BD14,$KO14:$KS14)</f>
        <v/>
      </c>
      <c r="LF14" s="45">
        <f>SUM($KO14:$KQ14)</f>
        <v/>
      </c>
      <c r="LG14" s="45">
        <f>SUM($KO14:$KS14)</f>
        <v/>
      </c>
      <c r="LH14" s="45">
        <f>SUMPRODUCT($AZ14:$BD14,$KT14:$KX14,$BJ14:$BN14)+SUMPRODUCT($AZ14:$BD14,$KY14:$LC14,$BO14:$BS14)-$LD14/(1+$AM14)^$AX14</f>
        <v/>
      </c>
      <c r="LI14" s="43">
        <f>$BU14/1000000</f>
        <v/>
      </c>
      <c r="LJ14" s="44">
        <f>IF($LI14&gt;0,$DD14/$LI14,0)</f>
        <v/>
      </c>
      <c r="LK14" s="44">
        <f>IF($LI14&gt;0,$GP14/$LI14,0)</f>
        <v/>
      </c>
      <c r="LL14" s="44">
        <f>IF($LI14&gt;0,$KO14/$LI14,0)</f>
        <v/>
      </c>
      <c r="LM14" s="43">
        <f>$AP14*31536000/1000000</f>
        <v/>
      </c>
      <c r="LN14" s="43">
        <f>$EC14*$LM14</f>
        <v/>
      </c>
      <c r="LO14" s="45">
        <f>$FG14+$FL14+$FQ14+$FV14+$GA14+$GF14</f>
        <v/>
      </c>
      <c r="LP14" s="46">
        <f>IF($LN14*$CJ14&gt;0,MAX(0,($LO14-$CT14)/($LN14*$CJ14)),0)</f>
        <v/>
      </c>
      <c r="LQ14" s="46">
        <f>IF($LN14&gt;0,$LI14/$LN14,0)</f>
        <v/>
      </c>
      <c r="LR14" s="46">
        <f>1/($M14*$AI14)</f>
        <v/>
      </c>
      <c r="LS14" s="43">
        <f>$HR14*$LM14</f>
        <v/>
      </c>
      <c r="LT14" s="45">
        <f>$IV14+$JA14+$JF14+$JK14+$JP14+$JU14</f>
        <v/>
      </c>
      <c r="LU14" s="46">
        <f>IF($LS14*$CJ14&gt;0,$LT14/($LS14*$CJ14),0)</f>
        <v/>
      </c>
      <c r="LV14" s="46">
        <f>IF($LS14&gt;0,$LI14*$HJ14/$LS14,0)</f>
        <v/>
      </c>
      <c r="LW14" s="45">
        <f>$V14*(1-$X14)/$AY14+$Y14*$Z14*$AA14*8760+IF($AC14&gt;0,0,$Y14*$AB14*12)+$V14*$AD14</f>
        <v/>
      </c>
      <c r="LX14" s="46">
        <f>IF($LM14*$CJ14&gt;0,$LW14/($LM14*$CJ14),0)</f>
        <v/>
      </c>
      <c r="LY14" s="44">
        <f>IF($LM14*$LR14&gt;0,$LW14/($LM14*$LR14),0)</f>
        <v/>
      </c>
      <c r="LZ14" s="45">
        <f>$AE14+$AF14*$AG14+IF($AC14&gt;0,$AC14,0)-$CT14</f>
        <v/>
      </c>
      <c r="MA14" s="43">
        <f>IF($CJ14&gt;$LY14,MAX(0,$LZ14)/($CJ14-$LY14)*1000000,"Not reachable")</f>
        <v/>
      </c>
      <c r="MB14" s="47">
        <f>IF(AND(ISNUMBER($MA14),$BU14&gt;0),$MA14/$BU14,"n/a")</f>
        <v/>
      </c>
      <c r="MC14" s="47">
        <f>$B14*MAX(0,$D14-1)*$E14</f>
        <v/>
      </c>
      <c r="MD14" s="45">
        <f>$MC14*$C14</f>
        <v/>
      </c>
      <c r="ME14" s="45">
        <f>$MD14*SUMPRODUCT($AZ14:$BD14,$BO14:$BS14)</f>
        <v/>
      </c>
      <c r="MF14" s="45">
        <f>IF($AO14="Yes",$ME14-$DW14,0)</f>
        <v/>
      </c>
      <c r="MG14" s="45">
        <f>IF($AO14="Yes",$ME14-$HI14,0)</f>
        <v/>
      </c>
      <c r="MH14" s="45">
        <f>IF($AO14="Yes",$ME14-$LH14,0)</f>
        <v/>
      </c>
      <c r="MI14" s="45">
        <f>IF($AO14="Yes",$MD14-$DD14,0)</f>
        <v/>
      </c>
      <c r="MJ14" s="25">
        <f>IF(AND($DW14&lt;=$HI14,$DW14&lt;=$LH14),"Rent the Frontier",IF($HI14&lt;=$LH14,"Own the Frontier","Hybrid"))</f>
        <v/>
      </c>
      <c r="MK14" s="25">
        <f>IF(AND($DT14&lt;=$HF14,$DT14&lt;=$LE14),"Rent the Frontier",IF($HF14&lt;=$LE14,"Own the Frontier","Hybrid"))</f>
        <v/>
      </c>
    </row>
    <row r="15">
      <c r="A15" s="25">
        <f>Sensitivity!A18&amp;" ("&amp;Sensitivity!C18&amp;")"</f>
        <v/>
      </c>
      <c r="B15" s="25">
        <f>Inputs!$B$5</f>
        <v/>
      </c>
      <c r="C15" s="25">
        <f>Inputs!$B$6</f>
        <v/>
      </c>
      <c r="D15" s="25">
        <f>Inputs!$B$7</f>
        <v/>
      </c>
      <c r="E15" s="25">
        <f>Inputs!$B$8</f>
        <v/>
      </c>
      <c r="F15" s="25">
        <f>Inputs!$B$12</f>
        <v/>
      </c>
      <c r="G15" s="25">
        <f>Inputs!$B$13</f>
        <v/>
      </c>
      <c r="H15" s="25">
        <f>Inputs!$B$14</f>
        <v/>
      </c>
      <c r="I15" s="25">
        <f>Inputs!$B$18</f>
        <v/>
      </c>
      <c r="J15" s="25">
        <f>Inputs!$B$19</f>
        <v/>
      </c>
      <c r="K15" s="25">
        <f>Inputs!$B$20</f>
        <v/>
      </c>
      <c r="L15" s="25">
        <f>Inputs!$B$21</f>
        <v/>
      </c>
      <c r="M15" s="25">
        <f>Inputs!$B$22</f>
        <v/>
      </c>
      <c r="N15" s="25">
        <f>Inputs!$B$23</f>
        <v/>
      </c>
      <c r="O15" s="25">
        <f>Inputs!$B$26</f>
        <v/>
      </c>
      <c r="P15" s="25">
        <f>Inputs!$B$27</f>
        <v/>
      </c>
      <c r="Q15" s="25">
        <f>Inputs!$B$28</f>
        <v/>
      </c>
      <c r="R15" s="25">
        <f>Inputs!$B$29</f>
        <v/>
      </c>
      <c r="S15" s="25">
        <f>Inputs!$B$30</f>
        <v/>
      </c>
      <c r="T15" s="25">
        <f>Inputs!$B$31</f>
        <v/>
      </c>
      <c r="U15" s="25">
        <f>Inputs!$B$32</f>
        <v/>
      </c>
      <c r="V15" s="25">
        <f>Inputs!$B$35</f>
        <v/>
      </c>
      <c r="W15" s="25">
        <f>Inputs!$B$36</f>
        <v/>
      </c>
      <c r="X15" s="25">
        <f>Inputs!$B$37</f>
        <v/>
      </c>
      <c r="Y15" s="25">
        <f>Inputs!$B$38</f>
        <v/>
      </c>
      <c r="Z15" s="25">
        <f>Inputs!$B$39</f>
        <v/>
      </c>
      <c r="AA15" s="25">
        <f>Inputs!$B$40</f>
        <v/>
      </c>
      <c r="AB15" s="25">
        <f>Inputs!$B$41</f>
        <v/>
      </c>
      <c r="AC15" s="25">
        <f>Inputs!$B$42</f>
        <v/>
      </c>
      <c r="AD15" s="25">
        <f>Inputs!$B$43</f>
        <v/>
      </c>
      <c r="AE15" s="25">
        <f>Inputs!$B$44</f>
        <v/>
      </c>
      <c r="AF15" s="25">
        <f>Inputs!$B$45*Sensitivity!$D$18</f>
        <v/>
      </c>
      <c r="AG15" s="25">
        <f>Inputs!$B$46</f>
        <v/>
      </c>
      <c r="AH15" s="25">
        <f>Inputs!$B$47</f>
        <v/>
      </c>
      <c r="AI15" s="25">
        <f>Inputs!$B$48</f>
        <v/>
      </c>
      <c r="AJ15" s="25">
        <f>IF(ISNUMBER(Inputs!$B$51),Inputs!$B$51,"")</f>
        <v/>
      </c>
      <c r="AK15" s="25">
        <f>Inputs!$B$52</f>
        <v/>
      </c>
      <c r="AL15" s="25">
        <f>Inputs!$B$55</f>
        <v/>
      </c>
      <c r="AM15" s="25">
        <f>Inputs!$B$56</f>
        <v/>
      </c>
      <c r="AN15" s="25">
        <f>Inputs!$B$57</f>
        <v/>
      </c>
      <c r="AO15" s="25">
        <f>Inputs!$B$58</f>
        <v/>
      </c>
      <c r="AP15" s="25">
        <f>Inputs!$B$61</f>
        <v/>
      </c>
      <c r="AQ15" s="25">
        <f>Inputs!$B$62</f>
        <v/>
      </c>
      <c r="AR15" s="25">
        <f>1</f>
        <v/>
      </c>
      <c r="AS15" s="25" t="n">
        <v>1</v>
      </c>
      <c r="AT15" s="25" t="n">
        <v>2</v>
      </c>
      <c r="AU15" s="25" t="n">
        <v>3</v>
      </c>
      <c r="AV15" s="25" t="n">
        <v>4</v>
      </c>
      <c r="AW15" s="25" t="n">
        <v>5</v>
      </c>
      <c r="AX15" s="25">
        <f>MIN(5,MAX(1,ROUND($AL15,0)))</f>
        <v/>
      </c>
      <c r="AY15" s="25">
        <f>MAX(1,ROUND($W15,0))</f>
        <v/>
      </c>
      <c r="AZ15" s="25">
        <f>IF(1&lt;=$AX15,1,0)</f>
        <v/>
      </c>
      <c r="BA15" s="25">
        <f>IF(2&lt;=$AX15,1,0)</f>
        <v/>
      </c>
      <c r="BB15" s="25">
        <f>IF(3&lt;=$AX15,1,0)</f>
        <v/>
      </c>
      <c r="BC15" s="25">
        <f>IF(4&lt;=$AX15,1,0)</f>
        <v/>
      </c>
      <c r="BD15" s="25">
        <f>IF(5&lt;=$AX15,1,0)</f>
        <v/>
      </c>
      <c r="BE15" s="52">
        <f>(1+$AN15)^(1-1)</f>
        <v/>
      </c>
      <c r="BF15" s="52">
        <f>(1+$AN15)^(2-1)</f>
        <v/>
      </c>
      <c r="BG15" s="52">
        <f>(1+$AN15)^(3-1)</f>
        <v/>
      </c>
      <c r="BH15" s="52">
        <f>(1+$AN15)^(4-1)</f>
        <v/>
      </c>
      <c r="BI15" s="52">
        <f>(1+$AN15)^(5-1)</f>
        <v/>
      </c>
      <c r="BJ15" s="53">
        <f>1/(1+$AM15)^(1-1)</f>
        <v/>
      </c>
      <c r="BK15" s="53">
        <f>1/(1+$AM15)^(2-1)</f>
        <v/>
      </c>
      <c r="BL15" s="53">
        <f>1/(1+$AM15)^(3-1)</f>
        <v/>
      </c>
      <c r="BM15" s="53">
        <f>1/(1+$AM15)^(4-1)</f>
        <v/>
      </c>
      <c r="BN15" s="53">
        <f>1/(1+$AM15)^(5-1)</f>
        <v/>
      </c>
      <c r="BO15" s="53">
        <f>1/(1+$AM15)^1</f>
        <v/>
      </c>
      <c r="BP15" s="53">
        <f>1/(1+$AM15)^2</f>
        <v/>
      </c>
      <c r="BQ15" s="53">
        <f>1/(1+$AM15)^3</f>
        <v/>
      </c>
      <c r="BR15" s="53">
        <f>1/(1+$AM15)^4</f>
        <v/>
      </c>
      <c r="BS15" s="53">
        <f>1/(1+$AM15)^5</f>
        <v/>
      </c>
      <c r="BT15" s="43">
        <f>IF(AND($I15="Direct monthly estimate",$J15&gt;0),$J15,$D15*$K15*$L15)</f>
        <v/>
      </c>
      <c r="BU15" s="43">
        <f>$BT15*$B15*12*(1+$N15)^(1-1)</f>
        <v/>
      </c>
      <c r="BV15" s="43">
        <f>$BT15*$B15*12*(1+$N15)^(2-1)</f>
        <v/>
      </c>
      <c r="BW15" s="43">
        <f>$BT15*$B15*12*(1+$N15)^(3-1)</f>
        <v/>
      </c>
      <c r="BX15" s="43">
        <f>$BT15*$B15*12*(1+$N15)^(4-1)</f>
        <v/>
      </c>
      <c r="BY15" s="43">
        <f>$BT15*$B15*12*(1+$N15)^(5-1)</f>
        <v/>
      </c>
      <c r="BZ15" s="43">
        <f>$BU15/31536000*$M15</f>
        <v/>
      </c>
      <c r="CA15" s="43">
        <f>$BV15/31536000*$M15</f>
        <v/>
      </c>
      <c r="CB15" s="43">
        <f>$BW15/31536000*$M15</f>
        <v/>
      </c>
      <c r="CC15" s="43">
        <f>$BX15/31536000*$M15</f>
        <v/>
      </c>
      <c r="CD15" s="43">
        <f>$BY15/31536000*$M15</f>
        <v/>
      </c>
      <c r="CE15" s="43">
        <f>$BZ15*$AI15</f>
        <v/>
      </c>
      <c r="CF15" s="43">
        <f>$CA15*$AI15</f>
        <v/>
      </c>
      <c r="CG15" s="43">
        <f>$CB15*$AI15</f>
        <v/>
      </c>
      <c r="CH15" s="43">
        <f>$CC15*$AI15</f>
        <v/>
      </c>
      <c r="CI15" s="43">
        <f>$CD15*$AI15</f>
        <v/>
      </c>
      <c r="CJ15" s="44">
        <f>$O15*(1-$Q15)*(1-$P15)^(1-1)</f>
        <v/>
      </c>
      <c r="CK15" s="44">
        <f>$O15*(1-$Q15)*(1-$P15)^(2-1)</f>
        <v/>
      </c>
      <c r="CL15" s="44">
        <f>$O15*(1-$Q15)*(1-$P15)^(3-1)</f>
        <v/>
      </c>
      <c r="CM15" s="44">
        <f>$O15*(1-$Q15)*(1-$P15)^(4-1)</f>
        <v/>
      </c>
      <c r="CN15" s="44">
        <f>$O15*(1-$Q15)*(1-$P15)^(5-1)</f>
        <v/>
      </c>
      <c r="CO15" s="45">
        <f>$BU15/1000000*$CJ15</f>
        <v/>
      </c>
      <c r="CP15" s="45">
        <f>$BV15/1000000*$CK15</f>
        <v/>
      </c>
      <c r="CQ15" s="45">
        <f>$BW15/1000000*$CL15</f>
        <v/>
      </c>
      <c r="CR15" s="45">
        <f>$BX15/1000000*$CM15</f>
        <v/>
      </c>
      <c r="CS15" s="45">
        <f>$BY15/1000000*$CN15</f>
        <v/>
      </c>
      <c r="CT15" s="45">
        <f>($T15*$U15+$S15)*$BE15</f>
        <v/>
      </c>
      <c r="CU15" s="45">
        <f>($T15*$U15+$S15)*$BF15</f>
        <v/>
      </c>
      <c r="CV15" s="45">
        <f>($T15*$U15+$S15)*$BG15</f>
        <v/>
      </c>
      <c r="CW15" s="45">
        <f>($T15*$U15+$S15)*$BH15</f>
        <v/>
      </c>
      <c r="CX15" s="45">
        <f>($T15*$U15+$S15)*$BI15</f>
        <v/>
      </c>
      <c r="CY15" s="45">
        <f>IF(1=1,$R15,0)</f>
        <v/>
      </c>
      <c r="CZ15" s="45">
        <f>IF(2=1,$R15,0)</f>
        <v/>
      </c>
      <c r="DA15" s="45">
        <f>IF(3=1,$R15,0)</f>
        <v/>
      </c>
      <c r="DB15" s="45">
        <f>IF(4=1,$R15,0)</f>
        <v/>
      </c>
      <c r="DC15" s="45">
        <f>IF(5=1,$R15,0)</f>
        <v/>
      </c>
      <c r="DD15" s="45">
        <f>$CO15+$CT15+$CY15</f>
        <v/>
      </c>
      <c r="DE15" s="45">
        <f>$CP15+$CU15+$CZ15</f>
        <v/>
      </c>
      <c r="DF15" s="45">
        <f>$CQ15+$CV15+$DA15</f>
        <v/>
      </c>
      <c r="DG15" s="45">
        <f>$CR15+$CW15+$DB15</f>
        <v/>
      </c>
      <c r="DH15" s="45">
        <f>$CS15+$CX15+$DC15</f>
        <v/>
      </c>
      <c r="DI15" s="45">
        <f>$CY15</f>
        <v/>
      </c>
      <c r="DJ15" s="45">
        <f>$CZ15</f>
        <v/>
      </c>
      <c r="DK15" s="45">
        <f>$DA15</f>
        <v/>
      </c>
      <c r="DL15" s="45">
        <f>$DB15</f>
        <v/>
      </c>
      <c r="DM15" s="45">
        <f>$DC15</f>
        <v/>
      </c>
      <c r="DN15" s="45">
        <f>$CO15+$CT15</f>
        <v/>
      </c>
      <c r="DO15" s="45">
        <f>$CP15+$CU15</f>
        <v/>
      </c>
      <c r="DP15" s="45">
        <f>$CQ15+$CV15</f>
        <v/>
      </c>
      <c r="DQ15" s="45">
        <f>$CR15+$CW15</f>
        <v/>
      </c>
      <c r="DR15" s="45">
        <f>$CS15+$CX15</f>
        <v/>
      </c>
      <c r="DS15" s="45">
        <f>0</f>
        <v/>
      </c>
      <c r="DT15" s="45">
        <f>SUMPRODUCT($AZ15:$BD15,$DD15:$DH15)</f>
        <v/>
      </c>
      <c r="DU15" s="45">
        <f>SUM($DD15:$DF15)</f>
        <v/>
      </c>
      <c r="DV15" s="45">
        <f>SUM($DD15:$DH15)</f>
        <v/>
      </c>
      <c r="DW15" s="45">
        <f>SUMPRODUCT($AZ15:$BD15,$DI15:$DM15,$BJ15:$BN15)+SUMPRODUCT($AZ15:$BD15,$DN15:$DR15,$BO15:$BS15)-$DS15/(1+$AM15)^$AX15</f>
        <v/>
      </c>
      <c r="DX15" s="43">
        <f>IF($CE15&gt;0,ROUNDUP($CE15/$AP15,0),0)</f>
        <v/>
      </c>
      <c r="DY15" s="43">
        <f>IF($CF15&gt;0,ROUNDUP($CF15/$AP15,0),0)</f>
        <v/>
      </c>
      <c r="DZ15" s="43">
        <f>IF($CG15&gt;0,ROUNDUP($CG15/$AP15,0),0)</f>
        <v/>
      </c>
      <c r="EA15" s="43">
        <f>IF($CH15&gt;0,ROUNDUP($CH15/$AP15,0),0)</f>
        <v/>
      </c>
      <c r="EB15" s="43">
        <f>IF($CI15&gt;0,ROUNDUP($CI15/$AP15,0),0)</f>
        <v/>
      </c>
      <c r="EC15" s="43">
        <f>MAX($DX15,0)</f>
        <v/>
      </c>
      <c r="ED15" s="43">
        <f>MAX($DY15,$EC15)</f>
        <v/>
      </c>
      <c r="EE15" s="43">
        <f>MAX($DZ15,$ED15)</f>
        <v/>
      </c>
      <c r="EF15" s="43">
        <f>MAX($EA15,$EE15)</f>
        <v/>
      </c>
      <c r="EG15" s="43">
        <f>MAX($EB15,$EF15)</f>
        <v/>
      </c>
      <c r="EH15" s="43">
        <f>$EC15-0</f>
        <v/>
      </c>
      <c r="EI15" s="43">
        <f>$ED15-$EC15</f>
        <v/>
      </c>
      <c r="EJ15" s="43">
        <f>$EE15-$ED15</f>
        <v/>
      </c>
      <c r="EK15" s="43">
        <f>$EF15-$EE15</f>
        <v/>
      </c>
      <c r="EL15" s="43">
        <f>$EG15-$EF15</f>
        <v/>
      </c>
      <c r="EM15" s="43">
        <f>0</f>
        <v/>
      </c>
      <c r="EN15" s="43">
        <f>(1+$AY15=2)*$ER15</f>
        <v/>
      </c>
      <c r="EO15" s="43">
        <f>(1+$AY15=3)*$ER15+(2+$AY15=3)*$ES15</f>
        <v/>
      </c>
      <c r="EP15" s="43">
        <f>(1+$AY15=4)*$ER15+(2+$AY15=4)*$ES15+(3+$AY15=4)*$ET15</f>
        <v/>
      </c>
      <c r="EQ15" s="43">
        <f>(1+$AY15=5)*$ER15+(2+$AY15=5)*$ES15+(3+$AY15=5)*$ET15+(4+$AY15=5)*$EU15</f>
        <v/>
      </c>
      <c r="ER15" s="43">
        <f>$EH15+$EM15</f>
        <v/>
      </c>
      <c r="ES15" s="43">
        <f>$EI15+$EN15</f>
        <v/>
      </c>
      <c r="ET15" s="43">
        <f>$EJ15+$EO15</f>
        <v/>
      </c>
      <c r="EU15" s="43">
        <f>$EK15+$EP15</f>
        <v/>
      </c>
      <c r="EV15" s="43">
        <f>$EL15+$EQ15</f>
        <v/>
      </c>
      <c r="EW15" s="45">
        <f>$ER15*$V15</f>
        <v/>
      </c>
      <c r="EX15" s="45">
        <f>$ES15*$V15</f>
        <v/>
      </c>
      <c r="EY15" s="45">
        <f>$ET15*$V15</f>
        <v/>
      </c>
      <c r="EZ15" s="45">
        <f>$EU15*$V15</f>
        <v/>
      </c>
      <c r="FA15" s="45">
        <f>$EV15*$V15</f>
        <v/>
      </c>
      <c r="FB15" s="45">
        <f>$EM15*$V15*$X15</f>
        <v/>
      </c>
      <c r="FC15" s="45">
        <f>$EN15*$V15*$X15</f>
        <v/>
      </c>
      <c r="FD15" s="45">
        <f>$EO15*$V15*$X15</f>
        <v/>
      </c>
      <c r="FE15" s="45">
        <f>$EP15*$V15*$X15</f>
        <v/>
      </c>
      <c r="FF15" s="45">
        <f>$EQ15*$V15*$X15</f>
        <v/>
      </c>
      <c r="FG15" s="45">
        <f>$EC15*$V15*(1-$X15)/$AY15</f>
        <v/>
      </c>
      <c r="FH15" s="45">
        <f>$ED15*$V15*(1-$X15)/$AY15</f>
        <v/>
      </c>
      <c r="FI15" s="45">
        <f>$EE15*$V15*(1-$X15)/$AY15</f>
        <v/>
      </c>
      <c r="FJ15" s="45">
        <f>$EF15*$V15*(1-$X15)/$AY15</f>
        <v/>
      </c>
      <c r="FK15" s="45">
        <f>$EG15*$V15*(1-$X15)/$AY15</f>
        <v/>
      </c>
      <c r="FL15" s="45">
        <f>$EC15*$Y15*$Z15*$AA15*8760*$BE15</f>
        <v/>
      </c>
      <c r="FM15" s="45">
        <f>$ED15*$Y15*$Z15*$AA15*8760*$BF15</f>
        <v/>
      </c>
      <c r="FN15" s="45">
        <f>$EE15*$Y15*$Z15*$AA15*8760*$BG15</f>
        <v/>
      </c>
      <c r="FO15" s="45">
        <f>$EF15*$Y15*$Z15*$AA15*8760*$BH15</f>
        <v/>
      </c>
      <c r="FP15" s="45">
        <f>$EG15*$Y15*$Z15*$AA15*8760*$BI15</f>
        <v/>
      </c>
      <c r="FQ15" s="45">
        <f>IF($AC15&gt;0,$AC15,$EC15*$Y15*$AB15*12)*$BE15</f>
        <v/>
      </c>
      <c r="FR15" s="45">
        <f>IF($AC15&gt;0,$AC15,$ED15*$Y15*$AB15*12)*$BF15</f>
        <v/>
      </c>
      <c r="FS15" s="45">
        <f>IF($AC15&gt;0,$AC15,$EE15*$Y15*$AB15*12)*$BG15</f>
        <v/>
      </c>
      <c r="FT15" s="45">
        <f>IF($AC15&gt;0,$AC15,$EF15*$Y15*$AB15*12)*$BH15</f>
        <v/>
      </c>
      <c r="FU15" s="45">
        <f>IF($AC15&gt;0,$AC15,$EG15*$Y15*$AB15*12)*$BI15</f>
        <v/>
      </c>
      <c r="FV15" s="45">
        <f>$EC15*$V15*$AD15*$BE15</f>
        <v/>
      </c>
      <c r="FW15" s="45">
        <f>$ED15*$V15*$AD15*$BF15</f>
        <v/>
      </c>
      <c r="FX15" s="45">
        <f>$EE15*$V15*$AD15*$BG15</f>
        <v/>
      </c>
      <c r="FY15" s="45">
        <f>$EF15*$V15*$AD15*$BH15</f>
        <v/>
      </c>
      <c r="FZ15" s="45">
        <f>$EG15*$V15*$AD15*$BI15</f>
        <v/>
      </c>
      <c r="GA15" s="45">
        <f>$AE15*$BE15</f>
        <v/>
      </c>
      <c r="GB15" s="45">
        <f>$AE15*$BF15</f>
        <v/>
      </c>
      <c r="GC15" s="45">
        <f>$AE15*$BG15</f>
        <v/>
      </c>
      <c r="GD15" s="45">
        <f>$AE15*$BH15</f>
        <v/>
      </c>
      <c r="GE15" s="45">
        <f>$AE15*$BI15</f>
        <v/>
      </c>
      <c r="GF15" s="45">
        <f>$AF15*$AG15*$BE15</f>
        <v/>
      </c>
      <c r="GG15" s="45">
        <f>$AF15*$AG15*$BF15</f>
        <v/>
      </c>
      <c r="GH15" s="45">
        <f>$AF15*$AG15*$BG15</f>
        <v/>
      </c>
      <c r="GI15" s="45">
        <f>$AF15*$AG15*$BH15</f>
        <v/>
      </c>
      <c r="GJ15" s="45">
        <f>$AF15*$AG15*$BI15</f>
        <v/>
      </c>
      <c r="GK15" s="45">
        <f>IF(1=1,$AH15,0)</f>
        <v/>
      </c>
      <c r="GL15" s="45">
        <f>IF(2=1,$AH15,0)</f>
        <v/>
      </c>
      <c r="GM15" s="45">
        <f>IF(3=1,$AH15,0)</f>
        <v/>
      </c>
      <c r="GN15" s="45">
        <f>IF(4=1,$AH15,0)</f>
        <v/>
      </c>
      <c r="GO15" s="45">
        <f>IF(5=1,$AH15,0)</f>
        <v/>
      </c>
      <c r="GP15" s="45">
        <f>$FG15+$FL15+$FQ15+$FV15+$GA15+$GF15+$GK15</f>
        <v/>
      </c>
      <c r="GQ15" s="45">
        <f>$FH15+$FM15+$FR15+$FW15+$GB15+$GG15+$GL15</f>
        <v/>
      </c>
      <c r="GR15" s="45">
        <f>$FI15+$FN15+$FS15+$FX15+$GC15+$GH15+$GM15</f>
        <v/>
      </c>
      <c r="GS15" s="45">
        <f>$FJ15+$FO15+$FT15+$FY15+$GD15+$GI15+$GN15</f>
        <v/>
      </c>
      <c r="GT15" s="45">
        <f>$FK15+$FP15+$FU15+$FZ15+$GE15+$GJ15+$GO15</f>
        <v/>
      </c>
      <c r="GU15" s="45">
        <f>$EW15-$FB15+$GK15</f>
        <v/>
      </c>
      <c r="GV15" s="45">
        <f>$EX15-$FC15+$GL15</f>
        <v/>
      </c>
      <c r="GW15" s="45">
        <f>$EY15-$FD15+$GM15</f>
        <v/>
      </c>
      <c r="GX15" s="45">
        <f>$EZ15-$FE15+$GN15</f>
        <v/>
      </c>
      <c r="GY15" s="45">
        <f>$FA15-$FF15+$GO15</f>
        <v/>
      </c>
      <c r="GZ15" s="45">
        <f>$FL15+$FQ15+$FV15+$GA15+$GF15</f>
        <v/>
      </c>
      <c r="HA15" s="45">
        <f>$FM15+$FR15+$FW15+$GB15+$GG15</f>
        <v/>
      </c>
      <c r="HB15" s="45">
        <f>$FN15+$FS15+$FX15+$GC15+$GH15</f>
        <v/>
      </c>
      <c r="HC15" s="45">
        <f>$FO15+$FT15+$FY15+$GD15+$GI15</f>
        <v/>
      </c>
      <c r="HD15" s="45">
        <f>$FP15+$FU15+$FZ15+$GE15+$GJ15</f>
        <v/>
      </c>
      <c r="HE15" s="45">
        <f>((1&lt;=$AX15)*(1&gt;$AX15-$AY15))*$ER15*$V15*MAX(0,1-(1-$X15)*($AX15-1+1)/$AY15)+((2&lt;=$AX15)*(2&gt;$AX15-$AY15))*$ES15*$V15*MAX(0,1-(1-$X15)*($AX15-2+1)/$AY15)+((3&lt;=$AX15)*(3&gt;$AX15-$AY15))*$ET15*$V15*MAX(0,1-(1-$X15)*($AX15-3+1)/$AY15)+((4&lt;=$AX15)*(4&gt;$AX15-$AY15))*$EU15*$V15*MAX(0,1-(1-$X15)*($AX15-4+1)/$AY15)+((5&lt;=$AX15)*(5&gt;$AX15-$AY15))*$EV15*$V15*MAX(0,1-(1-$X15)*($AX15-5+1)/$AY15)</f>
        <v/>
      </c>
      <c r="HF15" s="45">
        <f>SUMPRODUCT($AZ15:$BD15,$GP15:$GT15)</f>
        <v/>
      </c>
      <c r="HG15" s="45">
        <f>SUM($GP15:$GR15)</f>
        <v/>
      </c>
      <c r="HH15" s="45">
        <f>SUM($GP15:$GT15)</f>
        <v/>
      </c>
      <c r="HI15" s="45">
        <f>SUMPRODUCT($AZ15:$BD15,$GU15:$GY15,$BJ15:$BN15)+SUMPRODUCT($AZ15:$BD15,$GZ15:$HD15,$BO15:$BS15)-$HE15/(1+$AM15)^$AX15</f>
        <v/>
      </c>
      <c r="HJ15" s="46">
        <f>MIN(1,MAX(0,IF(ISNUMBER($AJ15),$AJ15,IF($F15+$G15+$H15&gt;0,($G15+$H15)/($F15+$G15+$H15),0))*$AR15))</f>
        <v/>
      </c>
      <c r="HK15" s="25">
        <f>IF($HJ15&gt;0,1,0)</f>
        <v/>
      </c>
      <c r="HL15" s="25">
        <f>IF($HJ15&lt;1,1,0)</f>
        <v/>
      </c>
      <c r="HM15" s="43">
        <f>IF($CE15*$HJ15&gt;0,ROUNDUP($CE15*$HJ15/$AP15,0),0)</f>
        <v/>
      </c>
      <c r="HN15" s="43">
        <f>IF($CF15*$HJ15&gt;0,ROUNDUP($CF15*$HJ15/$AP15,0),0)</f>
        <v/>
      </c>
      <c r="HO15" s="43">
        <f>IF($CG15*$HJ15&gt;0,ROUNDUP($CG15*$HJ15/$AP15,0),0)</f>
        <v/>
      </c>
      <c r="HP15" s="43">
        <f>IF($CH15*$HJ15&gt;0,ROUNDUP($CH15*$HJ15/$AP15,0),0)</f>
        <v/>
      </c>
      <c r="HQ15" s="43">
        <f>IF($CI15*$HJ15&gt;0,ROUNDUP($CI15*$HJ15/$AP15,0),0)</f>
        <v/>
      </c>
      <c r="HR15" s="43">
        <f>MAX($HM15,0)</f>
        <v/>
      </c>
      <c r="HS15" s="43">
        <f>MAX($HN15,$HR15)</f>
        <v/>
      </c>
      <c r="HT15" s="43">
        <f>MAX($HO15,$HS15)</f>
        <v/>
      </c>
      <c r="HU15" s="43">
        <f>MAX($HP15,$HT15)</f>
        <v/>
      </c>
      <c r="HV15" s="43">
        <f>MAX($HQ15,$HU15)</f>
        <v/>
      </c>
      <c r="HW15" s="43">
        <f>$HR15-0</f>
        <v/>
      </c>
      <c r="HX15" s="43">
        <f>$HS15-$HR15</f>
        <v/>
      </c>
      <c r="HY15" s="43">
        <f>$HT15-$HS15</f>
        <v/>
      </c>
      <c r="HZ15" s="43">
        <f>$HU15-$HT15</f>
        <v/>
      </c>
      <c r="IA15" s="43">
        <f>$HV15-$HU15</f>
        <v/>
      </c>
      <c r="IB15" s="43">
        <f>0</f>
        <v/>
      </c>
      <c r="IC15" s="43">
        <f>(1+$AY15=2)*$IG15</f>
        <v/>
      </c>
      <c r="ID15" s="43">
        <f>(1+$AY15=3)*$IG15+(2+$AY15=3)*$IH15</f>
        <v/>
      </c>
      <c r="IE15" s="43">
        <f>(1+$AY15=4)*$IG15+(2+$AY15=4)*$IH15+(3+$AY15=4)*$II15</f>
        <v/>
      </c>
      <c r="IF15" s="43">
        <f>(1+$AY15=5)*$IG15+(2+$AY15=5)*$IH15+(3+$AY15=5)*$II15+(4+$AY15=5)*$IJ15</f>
        <v/>
      </c>
      <c r="IG15" s="43">
        <f>$HW15+$IB15</f>
        <v/>
      </c>
      <c r="IH15" s="43">
        <f>$HX15+$IC15</f>
        <v/>
      </c>
      <c r="II15" s="43">
        <f>$HY15+$ID15</f>
        <v/>
      </c>
      <c r="IJ15" s="43">
        <f>$HZ15+$IE15</f>
        <v/>
      </c>
      <c r="IK15" s="43">
        <f>$IA15+$IF15</f>
        <v/>
      </c>
      <c r="IL15" s="45">
        <f>$IG15*$V15</f>
        <v/>
      </c>
      <c r="IM15" s="45">
        <f>$IH15*$V15</f>
        <v/>
      </c>
      <c r="IN15" s="45">
        <f>$II15*$V15</f>
        <v/>
      </c>
      <c r="IO15" s="45">
        <f>$IJ15*$V15</f>
        <v/>
      </c>
      <c r="IP15" s="45">
        <f>$IK15*$V15</f>
        <v/>
      </c>
      <c r="IQ15" s="45">
        <f>$IB15*$V15*$X15</f>
        <v/>
      </c>
      <c r="IR15" s="45">
        <f>$IC15*$V15*$X15</f>
        <v/>
      </c>
      <c r="IS15" s="45">
        <f>$ID15*$V15*$X15</f>
        <v/>
      </c>
      <c r="IT15" s="45">
        <f>$IE15*$V15*$X15</f>
        <v/>
      </c>
      <c r="IU15" s="45">
        <f>$IF15*$V15*$X15</f>
        <v/>
      </c>
      <c r="IV15" s="45">
        <f>$HR15*$V15*(1-$X15)/$AY15</f>
        <v/>
      </c>
      <c r="IW15" s="45">
        <f>$HS15*$V15*(1-$X15)/$AY15</f>
        <v/>
      </c>
      <c r="IX15" s="45">
        <f>$HT15*$V15*(1-$X15)/$AY15</f>
        <v/>
      </c>
      <c r="IY15" s="45">
        <f>$HU15*$V15*(1-$X15)/$AY15</f>
        <v/>
      </c>
      <c r="IZ15" s="45">
        <f>$HV15*$V15*(1-$X15)/$AY15</f>
        <v/>
      </c>
      <c r="JA15" s="45">
        <f>$HR15*$Y15*$Z15*$AA15*8760*$BE15</f>
        <v/>
      </c>
      <c r="JB15" s="45">
        <f>$HS15*$Y15*$Z15*$AA15*8760*$BF15</f>
        <v/>
      </c>
      <c r="JC15" s="45">
        <f>$HT15*$Y15*$Z15*$AA15*8760*$BG15</f>
        <v/>
      </c>
      <c r="JD15" s="45">
        <f>$HU15*$Y15*$Z15*$AA15*8760*$BH15</f>
        <v/>
      </c>
      <c r="JE15" s="45">
        <f>$HV15*$Y15*$Z15*$AA15*8760*$BI15</f>
        <v/>
      </c>
      <c r="JF15" s="45">
        <f>IF($AC15&gt;0,$AC15*$HK15,$HR15*$Y15*$AB15*12)*$BE15</f>
        <v/>
      </c>
      <c r="JG15" s="45">
        <f>IF($AC15&gt;0,$AC15*$HK15,$HS15*$Y15*$AB15*12)*$BF15</f>
        <v/>
      </c>
      <c r="JH15" s="45">
        <f>IF($AC15&gt;0,$AC15*$HK15,$HT15*$Y15*$AB15*12)*$BG15</f>
        <v/>
      </c>
      <c r="JI15" s="45">
        <f>IF($AC15&gt;0,$AC15*$HK15,$HU15*$Y15*$AB15*12)*$BH15</f>
        <v/>
      </c>
      <c r="JJ15" s="45">
        <f>IF($AC15&gt;0,$AC15*$HK15,$HV15*$Y15*$AB15*12)*$BI15</f>
        <v/>
      </c>
      <c r="JK15" s="45">
        <f>$HR15*$V15*$AD15*$BE15</f>
        <v/>
      </c>
      <c r="JL15" s="45">
        <f>$HS15*$V15*$AD15*$BF15</f>
        <v/>
      </c>
      <c r="JM15" s="45">
        <f>$HT15*$V15*$AD15*$BG15</f>
        <v/>
      </c>
      <c r="JN15" s="45">
        <f>$HU15*$V15*$AD15*$BH15</f>
        <v/>
      </c>
      <c r="JO15" s="45">
        <f>$HV15*$V15*$AD15*$BI15</f>
        <v/>
      </c>
      <c r="JP15" s="45">
        <f>$AE15*$BE15*$HK15</f>
        <v/>
      </c>
      <c r="JQ15" s="45">
        <f>$AE15*$BF15*$HK15</f>
        <v/>
      </c>
      <c r="JR15" s="45">
        <f>$AE15*$BG15*$HK15</f>
        <v/>
      </c>
      <c r="JS15" s="45">
        <f>$AE15*$BH15*$HK15</f>
        <v/>
      </c>
      <c r="JT15" s="45">
        <f>$AE15*$BI15*$HK15</f>
        <v/>
      </c>
      <c r="JU15" s="45">
        <f>$AQ15*$AG15*$BE15*$HK15</f>
        <v/>
      </c>
      <c r="JV15" s="45">
        <f>$AQ15*$AG15*$BF15*$HK15</f>
        <v/>
      </c>
      <c r="JW15" s="45">
        <f>$AQ15*$AG15*$BG15*$HK15</f>
        <v/>
      </c>
      <c r="JX15" s="45">
        <f>$AQ15*$AG15*$BH15*$HK15</f>
        <v/>
      </c>
      <c r="JY15" s="45">
        <f>$AQ15*$AG15*$BI15*$HK15</f>
        <v/>
      </c>
      <c r="JZ15" s="45">
        <f>$BU15*(1-$HJ15)/1000000*$CJ15</f>
        <v/>
      </c>
      <c r="KA15" s="45">
        <f>$BV15*(1-$HJ15)/1000000*$CK15</f>
        <v/>
      </c>
      <c r="KB15" s="45">
        <f>$BW15*(1-$HJ15)/1000000*$CL15</f>
        <v/>
      </c>
      <c r="KC15" s="45">
        <f>$BX15*(1-$HJ15)/1000000*$CM15</f>
        <v/>
      </c>
      <c r="KD15" s="45">
        <f>$BY15*(1-$HJ15)/1000000*$CN15</f>
        <v/>
      </c>
      <c r="KE15" s="45">
        <f>$CT15*$HL15</f>
        <v/>
      </c>
      <c r="KF15" s="45">
        <f>$CU15*$HL15</f>
        <v/>
      </c>
      <c r="KG15" s="45">
        <f>$CV15*$HL15</f>
        <v/>
      </c>
      <c r="KH15" s="45">
        <f>$CW15*$HL15</f>
        <v/>
      </c>
      <c r="KI15" s="45">
        <f>$CX15*$HL15</f>
        <v/>
      </c>
      <c r="KJ15" s="45">
        <f>IF(1=1,$R15*$HL15+$AH15*$HK15+$AK15,0)</f>
        <v/>
      </c>
      <c r="KK15" s="45">
        <f>IF(2=1,$R15*$HL15+$AH15*$HK15+$AK15,0)</f>
        <v/>
      </c>
      <c r="KL15" s="45">
        <f>IF(3=1,$R15*$HL15+$AH15*$HK15+$AK15,0)</f>
        <v/>
      </c>
      <c r="KM15" s="45">
        <f>IF(4=1,$R15*$HL15+$AH15*$HK15+$AK15,0)</f>
        <v/>
      </c>
      <c r="KN15" s="45">
        <f>IF(5=1,$R15*$HL15+$AH15*$HK15+$AK15,0)</f>
        <v/>
      </c>
      <c r="KO15" s="45">
        <f>$IV15+$JA15+$JF15+$JK15+$JP15+$JU15+$JZ15+$KE15+$KJ15</f>
        <v/>
      </c>
      <c r="KP15" s="45">
        <f>$IW15+$JB15+$JG15+$JL15+$JQ15+$JV15+$KA15+$KF15+$KK15</f>
        <v/>
      </c>
      <c r="KQ15" s="45">
        <f>$IX15+$JC15+$JH15+$JM15+$JR15+$JW15+$KB15+$KG15+$KL15</f>
        <v/>
      </c>
      <c r="KR15" s="45">
        <f>$IY15+$JD15+$JI15+$JN15+$JS15+$JX15+$KC15+$KH15+$KM15</f>
        <v/>
      </c>
      <c r="KS15" s="45">
        <f>$IZ15+$JE15+$JJ15+$JO15+$JT15+$JY15+$KD15+$KI15+$KN15</f>
        <v/>
      </c>
      <c r="KT15" s="45">
        <f>$IL15-$IQ15+$KJ15</f>
        <v/>
      </c>
      <c r="KU15" s="45">
        <f>$IM15-$IR15+$KK15</f>
        <v/>
      </c>
      <c r="KV15" s="45">
        <f>$IN15-$IS15+$KL15</f>
        <v/>
      </c>
      <c r="KW15" s="45">
        <f>$IO15-$IT15+$KM15</f>
        <v/>
      </c>
      <c r="KX15" s="45">
        <f>$IP15-$IU15+$KN15</f>
        <v/>
      </c>
      <c r="KY15" s="45">
        <f>$JA15+$JF15+$JK15+$JP15+$JU15+$JZ15+$KE15</f>
        <v/>
      </c>
      <c r="KZ15" s="45">
        <f>$JB15+$JG15+$JL15+$JQ15+$JV15+$KA15+$KF15</f>
        <v/>
      </c>
      <c r="LA15" s="45">
        <f>$JC15+$JH15+$JM15+$JR15+$JW15+$KB15+$KG15</f>
        <v/>
      </c>
      <c r="LB15" s="45">
        <f>$JD15+$JI15+$JN15+$JS15+$JX15+$KC15+$KH15</f>
        <v/>
      </c>
      <c r="LC15" s="45">
        <f>$JE15+$JJ15+$JO15+$JT15+$JY15+$KD15+$KI15</f>
        <v/>
      </c>
      <c r="LD15" s="45">
        <f>((1&lt;=$AX15)*(1&gt;$AX15-$AY15))*$IG15*$V15*MAX(0,1-(1-$X15)*($AX15-1+1)/$AY15)+((2&lt;=$AX15)*(2&gt;$AX15-$AY15))*$IH15*$V15*MAX(0,1-(1-$X15)*($AX15-2+1)/$AY15)+((3&lt;=$AX15)*(3&gt;$AX15-$AY15))*$II15*$V15*MAX(0,1-(1-$X15)*($AX15-3+1)/$AY15)+((4&lt;=$AX15)*(4&gt;$AX15-$AY15))*$IJ15*$V15*MAX(0,1-(1-$X15)*($AX15-4+1)/$AY15)+((5&lt;=$AX15)*(5&gt;$AX15-$AY15))*$IK15*$V15*MAX(0,1-(1-$X15)*($AX15-5+1)/$AY15)</f>
        <v/>
      </c>
      <c r="LE15" s="45">
        <f>SUMPRODUCT($AZ15:$BD15,$KO15:$KS15)</f>
        <v/>
      </c>
      <c r="LF15" s="45">
        <f>SUM($KO15:$KQ15)</f>
        <v/>
      </c>
      <c r="LG15" s="45">
        <f>SUM($KO15:$KS15)</f>
        <v/>
      </c>
      <c r="LH15" s="45">
        <f>SUMPRODUCT($AZ15:$BD15,$KT15:$KX15,$BJ15:$BN15)+SUMPRODUCT($AZ15:$BD15,$KY15:$LC15,$BO15:$BS15)-$LD15/(1+$AM15)^$AX15</f>
        <v/>
      </c>
      <c r="LI15" s="43">
        <f>$BU15/1000000</f>
        <v/>
      </c>
      <c r="LJ15" s="44">
        <f>IF($LI15&gt;0,$DD15/$LI15,0)</f>
        <v/>
      </c>
      <c r="LK15" s="44">
        <f>IF($LI15&gt;0,$GP15/$LI15,0)</f>
        <v/>
      </c>
      <c r="LL15" s="44">
        <f>IF($LI15&gt;0,$KO15/$LI15,0)</f>
        <v/>
      </c>
      <c r="LM15" s="43">
        <f>$AP15*31536000/1000000</f>
        <v/>
      </c>
      <c r="LN15" s="43">
        <f>$EC15*$LM15</f>
        <v/>
      </c>
      <c r="LO15" s="45">
        <f>$FG15+$FL15+$FQ15+$FV15+$GA15+$GF15</f>
        <v/>
      </c>
      <c r="LP15" s="46">
        <f>IF($LN15*$CJ15&gt;0,MAX(0,($LO15-$CT15)/($LN15*$CJ15)),0)</f>
        <v/>
      </c>
      <c r="LQ15" s="46">
        <f>IF($LN15&gt;0,$LI15/$LN15,0)</f>
        <v/>
      </c>
      <c r="LR15" s="46">
        <f>1/($M15*$AI15)</f>
        <v/>
      </c>
      <c r="LS15" s="43">
        <f>$HR15*$LM15</f>
        <v/>
      </c>
      <c r="LT15" s="45">
        <f>$IV15+$JA15+$JF15+$JK15+$JP15+$JU15</f>
        <v/>
      </c>
      <c r="LU15" s="46">
        <f>IF($LS15*$CJ15&gt;0,$LT15/($LS15*$CJ15),0)</f>
        <v/>
      </c>
      <c r="LV15" s="46">
        <f>IF($LS15&gt;0,$LI15*$HJ15/$LS15,0)</f>
        <v/>
      </c>
      <c r="LW15" s="45">
        <f>$V15*(1-$X15)/$AY15+$Y15*$Z15*$AA15*8760+IF($AC15&gt;0,0,$Y15*$AB15*12)+$V15*$AD15</f>
        <v/>
      </c>
      <c r="LX15" s="46">
        <f>IF($LM15*$CJ15&gt;0,$LW15/($LM15*$CJ15),0)</f>
        <v/>
      </c>
      <c r="LY15" s="44">
        <f>IF($LM15*$LR15&gt;0,$LW15/($LM15*$LR15),0)</f>
        <v/>
      </c>
      <c r="LZ15" s="45">
        <f>$AE15+$AF15*$AG15+IF($AC15&gt;0,$AC15,0)-$CT15</f>
        <v/>
      </c>
      <c r="MA15" s="43">
        <f>IF($CJ15&gt;$LY15,MAX(0,$LZ15)/($CJ15-$LY15)*1000000,"Not reachable")</f>
        <v/>
      </c>
      <c r="MB15" s="47">
        <f>IF(AND(ISNUMBER($MA15),$BU15&gt;0),$MA15/$BU15,"n/a")</f>
        <v/>
      </c>
      <c r="MC15" s="47">
        <f>$B15*MAX(0,$D15-1)*$E15</f>
        <v/>
      </c>
      <c r="MD15" s="45">
        <f>$MC15*$C15</f>
        <v/>
      </c>
      <c r="ME15" s="45">
        <f>$MD15*SUMPRODUCT($AZ15:$BD15,$BO15:$BS15)</f>
        <v/>
      </c>
      <c r="MF15" s="45">
        <f>IF($AO15="Yes",$ME15-$DW15,0)</f>
        <v/>
      </c>
      <c r="MG15" s="45">
        <f>IF($AO15="Yes",$ME15-$HI15,0)</f>
        <v/>
      </c>
      <c r="MH15" s="45">
        <f>IF($AO15="Yes",$ME15-$LH15,0)</f>
        <v/>
      </c>
      <c r="MI15" s="45">
        <f>IF($AO15="Yes",$MD15-$DD15,0)</f>
        <v/>
      </c>
      <c r="MJ15" s="25">
        <f>IF(AND($DW15&lt;=$HI15,$DW15&lt;=$LH15),"Rent the Frontier",IF($HI15&lt;=$LH15,"Own the Frontier","Hybrid"))</f>
        <v/>
      </c>
      <c r="MK15" s="25">
        <f>IF(AND($DT15&lt;=$HF15,$DT15&lt;=$LE15),"Rent the Frontier",IF($HF15&lt;=$LE15,"Own the Frontier","Hybrid"))</f>
        <v/>
      </c>
    </row>
    <row r="16">
      <c r="A16" s="25">
        <f>Sensitivity!A19&amp;" ("&amp;Sensitivity!C19&amp;")"</f>
        <v/>
      </c>
      <c r="B16" s="25">
        <f>Inputs!$B$5</f>
        <v/>
      </c>
      <c r="C16" s="25">
        <f>Inputs!$B$6</f>
        <v/>
      </c>
      <c r="D16" s="25">
        <f>Inputs!$B$7</f>
        <v/>
      </c>
      <c r="E16" s="25">
        <f>Inputs!$B$8</f>
        <v/>
      </c>
      <c r="F16" s="25">
        <f>Inputs!$B$12</f>
        <v/>
      </c>
      <c r="G16" s="25">
        <f>Inputs!$B$13</f>
        <v/>
      </c>
      <c r="H16" s="25">
        <f>Inputs!$B$14</f>
        <v/>
      </c>
      <c r="I16" s="25">
        <f>Inputs!$B$18</f>
        <v/>
      </c>
      <c r="J16" s="25">
        <f>Inputs!$B$19</f>
        <v/>
      </c>
      <c r="K16" s="25">
        <f>Inputs!$B$20</f>
        <v/>
      </c>
      <c r="L16" s="25">
        <f>Inputs!$B$21</f>
        <v/>
      </c>
      <c r="M16" s="25">
        <f>Inputs!$B$22</f>
        <v/>
      </c>
      <c r="N16" s="25">
        <f>Inputs!$B$23</f>
        <v/>
      </c>
      <c r="O16" s="25">
        <f>Inputs!$B$26</f>
        <v/>
      </c>
      <c r="P16" s="25">
        <f>Inputs!$B$27</f>
        <v/>
      </c>
      <c r="Q16" s="25">
        <f>Inputs!$B$28</f>
        <v/>
      </c>
      <c r="R16" s="25">
        <f>Inputs!$B$29</f>
        <v/>
      </c>
      <c r="S16" s="25">
        <f>Inputs!$B$30</f>
        <v/>
      </c>
      <c r="T16" s="25">
        <f>Inputs!$B$31</f>
        <v/>
      </c>
      <c r="U16" s="25">
        <f>Inputs!$B$32</f>
        <v/>
      </c>
      <c r="V16" s="25">
        <f>Inputs!$B$35</f>
        <v/>
      </c>
      <c r="W16" s="25">
        <f>Inputs!$B$36</f>
        <v/>
      </c>
      <c r="X16" s="25">
        <f>Inputs!$B$37</f>
        <v/>
      </c>
      <c r="Y16" s="25">
        <f>Inputs!$B$38</f>
        <v/>
      </c>
      <c r="Z16" s="25">
        <f>Inputs!$B$39</f>
        <v/>
      </c>
      <c r="AA16" s="25">
        <f>Inputs!$B$40</f>
        <v/>
      </c>
      <c r="AB16" s="25">
        <f>Inputs!$B$41</f>
        <v/>
      </c>
      <c r="AC16" s="25">
        <f>Inputs!$B$42</f>
        <v/>
      </c>
      <c r="AD16" s="25">
        <f>Inputs!$B$43</f>
        <v/>
      </c>
      <c r="AE16" s="25">
        <f>Inputs!$B$44</f>
        <v/>
      </c>
      <c r="AF16" s="25">
        <f>Inputs!$B$45*Sensitivity!$D$19</f>
        <v/>
      </c>
      <c r="AG16" s="25">
        <f>Inputs!$B$46</f>
        <v/>
      </c>
      <c r="AH16" s="25">
        <f>Inputs!$B$47</f>
        <v/>
      </c>
      <c r="AI16" s="25">
        <f>Inputs!$B$48</f>
        <v/>
      </c>
      <c r="AJ16" s="25">
        <f>IF(ISNUMBER(Inputs!$B$51),Inputs!$B$51,"")</f>
        <v/>
      </c>
      <c r="AK16" s="25">
        <f>Inputs!$B$52</f>
        <v/>
      </c>
      <c r="AL16" s="25">
        <f>Inputs!$B$55</f>
        <v/>
      </c>
      <c r="AM16" s="25">
        <f>Inputs!$B$56</f>
        <v/>
      </c>
      <c r="AN16" s="25">
        <f>Inputs!$B$57</f>
        <v/>
      </c>
      <c r="AO16" s="25">
        <f>Inputs!$B$58</f>
        <v/>
      </c>
      <c r="AP16" s="25">
        <f>Inputs!$B$61</f>
        <v/>
      </c>
      <c r="AQ16" s="25">
        <f>Inputs!$B$62</f>
        <v/>
      </c>
      <c r="AR16" s="25">
        <f>1</f>
        <v/>
      </c>
      <c r="AS16" s="25" t="n">
        <v>1</v>
      </c>
      <c r="AT16" s="25" t="n">
        <v>2</v>
      </c>
      <c r="AU16" s="25" t="n">
        <v>3</v>
      </c>
      <c r="AV16" s="25" t="n">
        <v>4</v>
      </c>
      <c r="AW16" s="25" t="n">
        <v>5</v>
      </c>
      <c r="AX16" s="25">
        <f>MIN(5,MAX(1,ROUND($AL16,0)))</f>
        <v/>
      </c>
      <c r="AY16" s="25">
        <f>MAX(1,ROUND($W16,0))</f>
        <v/>
      </c>
      <c r="AZ16" s="25">
        <f>IF(1&lt;=$AX16,1,0)</f>
        <v/>
      </c>
      <c r="BA16" s="25">
        <f>IF(2&lt;=$AX16,1,0)</f>
        <v/>
      </c>
      <c r="BB16" s="25">
        <f>IF(3&lt;=$AX16,1,0)</f>
        <v/>
      </c>
      <c r="BC16" s="25">
        <f>IF(4&lt;=$AX16,1,0)</f>
        <v/>
      </c>
      <c r="BD16" s="25">
        <f>IF(5&lt;=$AX16,1,0)</f>
        <v/>
      </c>
      <c r="BE16" s="52">
        <f>(1+$AN16)^(1-1)</f>
        <v/>
      </c>
      <c r="BF16" s="52">
        <f>(1+$AN16)^(2-1)</f>
        <v/>
      </c>
      <c r="BG16" s="52">
        <f>(1+$AN16)^(3-1)</f>
        <v/>
      </c>
      <c r="BH16" s="52">
        <f>(1+$AN16)^(4-1)</f>
        <v/>
      </c>
      <c r="BI16" s="52">
        <f>(1+$AN16)^(5-1)</f>
        <v/>
      </c>
      <c r="BJ16" s="53">
        <f>1/(1+$AM16)^(1-1)</f>
        <v/>
      </c>
      <c r="BK16" s="53">
        <f>1/(1+$AM16)^(2-1)</f>
        <v/>
      </c>
      <c r="BL16" s="53">
        <f>1/(1+$AM16)^(3-1)</f>
        <v/>
      </c>
      <c r="BM16" s="53">
        <f>1/(1+$AM16)^(4-1)</f>
        <v/>
      </c>
      <c r="BN16" s="53">
        <f>1/(1+$AM16)^(5-1)</f>
        <v/>
      </c>
      <c r="BO16" s="53">
        <f>1/(1+$AM16)^1</f>
        <v/>
      </c>
      <c r="BP16" s="53">
        <f>1/(1+$AM16)^2</f>
        <v/>
      </c>
      <c r="BQ16" s="53">
        <f>1/(1+$AM16)^3</f>
        <v/>
      </c>
      <c r="BR16" s="53">
        <f>1/(1+$AM16)^4</f>
        <v/>
      </c>
      <c r="BS16" s="53">
        <f>1/(1+$AM16)^5</f>
        <v/>
      </c>
      <c r="BT16" s="43">
        <f>IF(AND($I16="Direct monthly estimate",$J16&gt;0),$J16,$D16*$K16*$L16)</f>
        <v/>
      </c>
      <c r="BU16" s="43">
        <f>$BT16*$B16*12*(1+$N16)^(1-1)</f>
        <v/>
      </c>
      <c r="BV16" s="43">
        <f>$BT16*$B16*12*(1+$N16)^(2-1)</f>
        <v/>
      </c>
      <c r="BW16" s="43">
        <f>$BT16*$B16*12*(1+$N16)^(3-1)</f>
        <v/>
      </c>
      <c r="BX16" s="43">
        <f>$BT16*$B16*12*(1+$N16)^(4-1)</f>
        <v/>
      </c>
      <c r="BY16" s="43">
        <f>$BT16*$B16*12*(1+$N16)^(5-1)</f>
        <v/>
      </c>
      <c r="BZ16" s="43">
        <f>$BU16/31536000*$M16</f>
        <v/>
      </c>
      <c r="CA16" s="43">
        <f>$BV16/31536000*$M16</f>
        <v/>
      </c>
      <c r="CB16" s="43">
        <f>$BW16/31536000*$M16</f>
        <v/>
      </c>
      <c r="CC16" s="43">
        <f>$BX16/31536000*$M16</f>
        <v/>
      </c>
      <c r="CD16" s="43">
        <f>$BY16/31536000*$M16</f>
        <v/>
      </c>
      <c r="CE16" s="43">
        <f>$BZ16*$AI16</f>
        <v/>
      </c>
      <c r="CF16" s="43">
        <f>$CA16*$AI16</f>
        <v/>
      </c>
      <c r="CG16" s="43">
        <f>$CB16*$AI16</f>
        <v/>
      </c>
      <c r="CH16" s="43">
        <f>$CC16*$AI16</f>
        <v/>
      </c>
      <c r="CI16" s="43">
        <f>$CD16*$AI16</f>
        <v/>
      </c>
      <c r="CJ16" s="44">
        <f>$O16*(1-$Q16)*(1-$P16)^(1-1)</f>
        <v/>
      </c>
      <c r="CK16" s="44">
        <f>$O16*(1-$Q16)*(1-$P16)^(2-1)</f>
        <v/>
      </c>
      <c r="CL16" s="44">
        <f>$O16*(1-$Q16)*(1-$P16)^(3-1)</f>
        <v/>
      </c>
      <c r="CM16" s="44">
        <f>$O16*(1-$Q16)*(1-$P16)^(4-1)</f>
        <v/>
      </c>
      <c r="CN16" s="44">
        <f>$O16*(1-$Q16)*(1-$P16)^(5-1)</f>
        <v/>
      </c>
      <c r="CO16" s="45">
        <f>$BU16/1000000*$CJ16</f>
        <v/>
      </c>
      <c r="CP16" s="45">
        <f>$BV16/1000000*$CK16</f>
        <v/>
      </c>
      <c r="CQ16" s="45">
        <f>$BW16/1000000*$CL16</f>
        <v/>
      </c>
      <c r="CR16" s="45">
        <f>$BX16/1000000*$CM16</f>
        <v/>
      </c>
      <c r="CS16" s="45">
        <f>$BY16/1000000*$CN16</f>
        <v/>
      </c>
      <c r="CT16" s="45">
        <f>($T16*$U16+$S16)*$BE16</f>
        <v/>
      </c>
      <c r="CU16" s="45">
        <f>($T16*$U16+$S16)*$BF16</f>
        <v/>
      </c>
      <c r="CV16" s="45">
        <f>($T16*$U16+$S16)*$BG16</f>
        <v/>
      </c>
      <c r="CW16" s="45">
        <f>($T16*$U16+$S16)*$BH16</f>
        <v/>
      </c>
      <c r="CX16" s="45">
        <f>($T16*$U16+$S16)*$BI16</f>
        <v/>
      </c>
      <c r="CY16" s="45">
        <f>IF(1=1,$R16,0)</f>
        <v/>
      </c>
      <c r="CZ16" s="45">
        <f>IF(2=1,$R16,0)</f>
        <v/>
      </c>
      <c r="DA16" s="45">
        <f>IF(3=1,$R16,0)</f>
        <v/>
      </c>
      <c r="DB16" s="45">
        <f>IF(4=1,$R16,0)</f>
        <v/>
      </c>
      <c r="DC16" s="45">
        <f>IF(5=1,$R16,0)</f>
        <v/>
      </c>
      <c r="DD16" s="45">
        <f>$CO16+$CT16+$CY16</f>
        <v/>
      </c>
      <c r="DE16" s="45">
        <f>$CP16+$CU16+$CZ16</f>
        <v/>
      </c>
      <c r="DF16" s="45">
        <f>$CQ16+$CV16+$DA16</f>
        <v/>
      </c>
      <c r="DG16" s="45">
        <f>$CR16+$CW16+$DB16</f>
        <v/>
      </c>
      <c r="DH16" s="45">
        <f>$CS16+$CX16+$DC16</f>
        <v/>
      </c>
      <c r="DI16" s="45">
        <f>$CY16</f>
        <v/>
      </c>
      <c r="DJ16" s="45">
        <f>$CZ16</f>
        <v/>
      </c>
      <c r="DK16" s="45">
        <f>$DA16</f>
        <v/>
      </c>
      <c r="DL16" s="45">
        <f>$DB16</f>
        <v/>
      </c>
      <c r="DM16" s="45">
        <f>$DC16</f>
        <v/>
      </c>
      <c r="DN16" s="45">
        <f>$CO16+$CT16</f>
        <v/>
      </c>
      <c r="DO16" s="45">
        <f>$CP16+$CU16</f>
        <v/>
      </c>
      <c r="DP16" s="45">
        <f>$CQ16+$CV16</f>
        <v/>
      </c>
      <c r="DQ16" s="45">
        <f>$CR16+$CW16</f>
        <v/>
      </c>
      <c r="DR16" s="45">
        <f>$CS16+$CX16</f>
        <v/>
      </c>
      <c r="DS16" s="45">
        <f>0</f>
        <v/>
      </c>
      <c r="DT16" s="45">
        <f>SUMPRODUCT($AZ16:$BD16,$DD16:$DH16)</f>
        <v/>
      </c>
      <c r="DU16" s="45">
        <f>SUM($DD16:$DF16)</f>
        <v/>
      </c>
      <c r="DV16" s="45">
        <f>SUM($DD16:$DH16)</f>
        <v/>
      </c>
      <c r="DW16" s="45">
        <f>SUMPRODUCT($AZ16:$BD16,$DI16:$DM16,$BJ16:$BN16)+SUMPRODUCT($AZ16:$BD16,$DN16:$DR16,$BO16:$BS16)-$DS16/(1+$AM16)^$AX16</f>
        <v/>
      </c>
      <c r="DX16" s="43">
        <f>IF($CE16&gt;0,ROUNDUP($CE16/$AP16,0),0)</f>
        <v/>
      </c>
      <c r="DY16" s="43">
        <f>IF($CF16&gt;0,ROUNDUP($CF16/$AP16,0),0)</f>
        <v/>
      </c>
      <c r="DZ16" s="43">
        <f>IF($CG16&gt;0,ROUNDUP($CG16/$AP16,0),0)</f>
        <v/>
      </c>
      <c r="EA16" s="43">
        <f>IF($CH16&gt;0,ROUNDUP($CH16/$AP16,0),0)</f>
        <v/>
      </c>
      <c r="EB16" s="43">
        <f>IF($CI16&gt;0,ROUNDUP($CI16/$AP16,0),0)</f>
        <v/>
      </c>
      <c r="EC16" s="43">
        <f>MAX($DX16,0)</f>
        <v/>
      </c>
      <c r="ED16" s="43">
        <f>MAX($DY16,$EC16)</f>
        <v/>
      </c>
      <c r="EE16" s="43">
        <f>MAX($DZ16,$ED16)</f>
        <v/>
      </c>
      <c r="EF16" s="43">
        <f>MAX($EA16,$EE16)</f>
        <v/>
      </c>
      <c r="EG16" s="43">
        <f>MAX($EB16,$EF16)</f>
        <v/>
      </c>
      <c r="EH16" s="43">
        <f>$EC16-0</f>
        <v/>
      </c>
      <c r="EI16" s="43">
        <f>$ED16-$EC16</f>
        <v/>
      </c>
      <c r="EJ16" s="43">
        <f>$EE16-$ED16</f>
        <v/>
      </c>
      <c r="EK16" s="43">
        <f>$EF16-$EE16</f>
        <v/>
      </c>
      <c r="EL16" s="43">
        <f>$EG16-$EF16</f>
        <v/>
      </c>
      <c r="EM16" s="43">
        <f>0</f>
        <v/>
      </c>
      <c r="EN16" s="43">
        <f>(1+$AY16=2)*$ER16</f>
        <v/>
      </c>
      <c r="EO16" s="43">
        <f>(1+$AY16=3)*$ER16+(2+$AY16=3)*$ES16</f>
        <v/>
      </c>
      <c r="EP16" s="43">
        <f>(1+$AY16=4)*$ER16+(2+$AY16=4)*$ES16+(3+$AY16=4)*$ET16</f>
        <v/>
      </c>
      <c r="EQ16" s="43">
        <f>(1+$AY16=5)*$ER16+(2+$AY16=5)*$ES16+(3+$AY16=5)*$ET16+(4+$AY16=5)*$EU16</f>
        <v/>
      </c>
      <c r="ER16" s="43">
        <f>$EH16+$EM16</f>
        <v/>
      </c>
      <c r="ES16" s="43">
        <f>$EI16+$EN16</f>
        <v/>
      </c>
      <c r="ET16" s="43">
        <f>$EJ16+$EO16</f>
        <v/>
      </c>
      <c r="EU16" s="43">
        <f>$EK16+$EP16</f>
        <v/>
      </c>
      <c r="EV16" s="43">
        <f>$EL16+$EQ16</f>
        <v/>
      </c>
      <c r="EW16" s="45">
        <f>$ER16*$V16</f>
        <v/>
      </c>
      <c r="EX16" s="45">
        <f>$ES16*$V16</f>
        <v/>
      </c>
      <c r="EY16" s="45">
        <f>$ET16*$V16</f>
        <v/>
      </c>
      <c r="EZ16" s="45">
        <f>$EU16*$V16</f>
        <v/>
      </c>
      <c r="FA16" s="45">
        <f>$EV16*$V16</f>
        <v/>
      </c>
      <c r="FB16" s="45">
        <f>$EM16*$V16*$X16</f>
        <v/>
      </c>
      <c r="FC16" s="45">
        <f>$EN16*$V16*$X16</f>
        <v/>
      </c>
      <c r="FD16" s="45">
        <f>$EO16*$V16*$X16</f>
        <v/>
      </c>
      <c r="FE16" s="45">
        <f>$EP16*$V16*$X16</f>
        <v/>
      </c>
      <c r="FF16" s="45">
        <f>$EQ16*$V16*$X16</f>
        <v/>
      </c>
      <c r="FG16" s="45">
        <f>$EC16*$V16*(1-$X16)/$AY16</f>
        <v/>
      </c>
      <c r="FH16" s="45">
        <f>$ED16*$V16*(1-$X16)/$AY16</f>
        <v/>
      </c>
      <c r="FI16" s="45">
        <f>$EE16*$V16*(1-$X16)/$AY16</f>
        <v/>
      </c>
      <c r="FJ16" s="45">
        <f>$EF16*$V16*(1-$X16)/$AY16</f>
        <v/>
      </c>
      <c r="FK16" s="45">
        <f>$EG16*$V16*(1-$X16)/$AY16</f>
        <v/>
      </c>
      <c r="FL16" s="45">
        <f>$EC16*$Y16*$Z16*$AA16*8760*$BE16</f>
        <v/>
      </c>
      <c r="FM16" s="45">
        <f>$ED16*$Y16*$Z16*$AA16*8760*$BF16</f>
        <v/>
      </c>
      <c r="FN16" s="45">
        <f>$EE16*$Y16*$Z16*$AA16*8760*$BG16</f>
        <v/>
      </c>
      <c r="FO16" s="45">
        <f>$EF16*$Y16*$Z16*$AA16*8760*$BH16</f>
        <v/>
      </c>
      <c r="FP16" s="45">
        <f>$EG16*$Y16*$Z16*$AA16*8760*$BI16</f>
        <v/>
      </c>
      <c r="FQ16" s="45">
        <f>IF($AC16&gt;0,$AC16,$EC16*$Y16*$AB16*12)*$BE16</f>
        <v/>
      </c>
      <c r="FR16" s="45">
        <f>IF($AC16&gt;0,$AC16,$ED16*$Y16*$AB16*12)*$BF16</f>
        <v/>
      </c>
      <c r="FS16" s="45">
        <f>IF($AC16&gt;0,$AC16,$EE16*$Y16*$AB16*12)*$BG16</f>
        <v/>
      </c>
      <c r="FT16" s="45">
        <f>IF($AC16&gt;0,$AC16,$EF16*$Y16*$AB16*12)*$BH16</f>
        <v/>
      </c>
      <c r="FU16" s="45">
        <f>IF($AC16&gt;0,$AC16,$EG16*$Y16*$AB16*12)*$BI16</f>
        <v/>
      </c>
      <c r="FV16" s="45">
        <f>$EC16*$V16*$AD16*$BE16</f>
        <v/>
      </c>
      <c r="FW16" s="45">
        <f>$ED16*$V16*$AD16*$BF16</f>
        <v/>
      </c>
      <c r="FX16" s="45">
        <f>$EE16*$V16*$AD16*$BG16</f>
        <v/>
      </c>
      <c r="FY16" s="45">
        <f>$EF16*$V16*$AD16*$BH16</f>
        <v/>
      </c>
      <c r="FZ16" s="45">
        <f>$EG16*$V16*$AD16*$BI16</f>
        <v/>
      </c>
      <c r="GA16" s="45">
        <f>$AE16*$BE16</f>
        <v/>
      </c>
      <c r="GB16" s="45">
        <f>$AE16*$BF16</f>
        <v/>
      </c>
      <c r="GC16" s="45">
        <f>$AE16*$BG16</f>
        <v/>
      </c>
      <c r="GD16" s="45">
        <f>$AE16*$BH16</f>
        <v/>
      </c>
      <c r="GE16" s="45">
        <f>$AE16*$BI16</f>
        <v/>
      </c>
      <c r="GF16" s="45">
        <f>$AF16*$AG16*$BE16</f>
        <v/>
      </c>
      <c r="GG16" s="45">
        <f>$AF16*$AG16*$BF16</f>
        <v/>
      </c>
      <c r="GH16" s="45">
        <f>$AF16*$AG16*$BG16</f>
        <v/>
      </c>
      <c r="GI16" s="45">
        <f>$AF16*$AG16*$BH16</f>
        <v/>
      </c>
      <c r="GJ16" s="45">
        <f>$AF16*$AG16*$BI16</f>
        <v/>
      </c>
      <c r="GK16" s="45">
        <f>IF(1=1,$AH16,0)</f>
        <v/>
      </c>
      <c r="GL16" s="45">
        <f>IF(2=1,$AH16,0)</f>
        <v/>
      </c>
      <c r="GM16" s="45">
        <f>IF(3=1,$AH16,0)</f>
        <v/>
      </c>
      <c r="GN16" s="45">
        <f>IF(4=1,$AH16,0)</f>
        <v/>
      </c>
      <c r="GO16" s="45">
        <f>IF(5=1,$AH16,0)</f>
        <v/>
      </c>
      <c r="GP16" s="45">
        <f>$FG16+$FL16+$FQ16+$FV16+$GA16+$GF16+$GK16</f>
        <v/>
      </c>
      <c r="GQ16" s="45">
        <f>$FH16+$FM16+$FR16+$FW16+$GB16+$GG16+$GL16</f>
        <v/>
      </c>
      <c r="GR16" s="45">
        <f>$FI16+$FN16+$FS16+$FX16+$GC16+$GH16+$GM16</f>
        <v/>
      </c>
      <c r="GS16" s="45">
        <f>$FJ16+$FO16+$FT16+$FY16+$GD16+$GI16+$GN16</f>
        <v/>
      </c>
      <c r="GT16" s="45">
        <f>$FK16+$FP16+$FU16+$FZ16+$GE16+$GJ16+$GO16</f>
        <v/>
      </c>
      <c r="GU16" s="45">
        <f>$EW16-$FB16+$GK16</f>
        <v/>
      </c>
      <c r="GV16" s="45">
        <f>$EX16-$FC16+$GL16</f>
        <v/>
      </c>
      <c r="GW16" s="45">
        <f>$EY16-$FD16+$GM16</f>
        <v/>
      </c>
      <c r="GX16" s="45">
        <f>$EZ16-$FE16+$GN16</f>
        <v/>
      </c>
      <c r="GY16" s="45">
        <f>$FA16-$FF16+$GO16</f>
        <v/>
      </c>
      <c r="GZ16" s="45">
        <f>$FL16+$FQ16+$FV16+$GA16+$GF16</f>
        <v/>
      </c>
      <c r="HA16" s="45">
        <f>$FM16+$FR16+$FW16+$GB16+$GG16</f>
        <v/>
      </c>
      <c r="HB16" s="45">
        <f>$FN16+$FS16+$FX16+$GC16+$GH16</f>
        <v/>
      </c>
      <c r="HC16" s="45">
        <f>$FO16+$FT16+$FY16+$GD16+$GI16</f>
        <v/>
      </c>
      <c r="HD16" s="45">
        <f>$FP16+$FU16+$FZ16+$GE16+$GJ16</f>
        <v/>
      </c>
      <c r="HE16" s="45">
        <f>((1&lt;=$AX16)*(1&gt;$AX16-$AY16))*$ER16*$V16*MAX(0,1-(1-$X16)*($AX16-1+1)/$AY16)+((2&lt;=$AX16)*(2&gt;$AX16-$AY16))*$ES16*$V16*MAX(0,1-(1-$X16)*($AX16-2+1)/$AY16)+((3&lt;=$AX16)*(3&gt;$AX16-$AY16))*$ET16*$V16*MAX(0,1-(1-$X16)*($AX16-3+1)/$AY16)+((4&lt;=$AX16)*(4&gt;$AX16-$AY16))*$EU16*$V16*MAX(0,1-(1-$X16)*($AX16-4+1)/$AY16)+((5&lt;=$AX16)*(5&gt;$AX16-$AY16))*$EV16*$V16*MAX(0,1-(1-$X16)*($AX16-5+1)/$AY16)</f>
        <v/>
      </c>
      <c r="HF16" s="45">
        <f>SUMPRODUCT($AZ16:$BD16,$GP16:$GT16)</f>
        <v/>
      </c>
      <c r="HG16" s="45">
        <f>SUM($GP16:$GR16)</f>
        <v/>
      </c>
      <c r="HH16" s="45">
        <f>SUM($GP16:$GT16)</f>
        <v/>
      </c>
      <c r="HI16" s="45">
        <f>SUMPRODUCT($AZ16:$BD16,$GU16:$GY16,$BJ16:$BN16)+SUMPRODUCT($AZ16:$BD16,$GZ16:$HD16,$BO16:$BS16)-$HE16/(1+$AM16)^$AX16</f>
        <v/>
      </c>
      <c r="HJ16" s="46">
        <f>MIN(1,MAX(0,IF(ISNUMBER($AJ16),$AJ16,IF($F16+$G16+$H16&gt;0,($G16+$H16)/($F16+$G16+$H16),0))*$AR16))</f>
        <v/>
      </c>
      <c r="HK16" s="25">
        <f>IF($HJ16&gt;0,1,0)</f>
        <v/>
      </c>
      <c r="HL16" s="25">
        <f>IF($HJ16&lt;1,1,0)</f>
        <v/>
      </c>
      <c r="HM16" s="43">
        <f>IF($CE16*$HJ16&gt;0,ROUNDUP($CE16*$HJ16/$AP16,0),0)</f>
        <v/>
      </c>
      <c r="HN16" s="43">
        <f>IF($CF16*$HJ16&gt;0,ROUNDUP($CF16*$HJ16/$AP16,0),0)</f>
        <v/>
      </c>
      <c r="HO16" s="43">
        <f>IF($CG16*$HJ16&gt;0,ROUNDUP($CG16*$HJ16/$AP16,0),0)</f>
        <v/>
      </c>
      <c r="HP16" s="43">
        <f>IF($CH16*$HJ16&gt;0,ROUNDUP($CH16*$HJ16/$AP16,0),0)</f>
        <v/>
      </c>
      <c r="HQ16" s="43">
        <f>IF($CI16*$HJ16&gt;0,ROUNDUP($CI16*$HJ16/$AP16,0),0)</f>
        <v/>
      </c>
      <c r="HR16" s="43">
        <f>MAX($HM16,0)</f>
        <v/>
      </c>
      <c r="HS16" s="43">
        <f>MAX($HN16,$HR16)</f>
        <v/>
      </c>
      <c r="HT16" s="43">
        <f>MAX($HO16,$HS16)</f>
        <v/>
      </c>
      <c r="HU16" s="43">
        <f>MAX($HP16,$HT16)</f>
        <v/>
      </c>
      <c r="HV16" s="43">
        <f>MAX($HQ16,$HU16)</f>
        <v/>
      </c>
      <c r="HW16" s="43">
        <f>$HR16-0</f>
        <v/>
      </c>
      <c r="HX16" s="43">
        <f>$HS16-$HR16</f>
        <v/>
      </c>
      <c r="HY16" s="43">
        <f>$HT16-$HS16</f>
        <v/>
      </c>
      <c r="HZ16" s="43">
        <f>$HU16-$HT16</f>
        <v/>
      </c>
      <c r="IA16" s="43">
        <f>$HV16-$HU16</f>
        <v/>
      </c>
      <c r="IB16" s="43">
        <f>0</f>
        <v/>
      </c>
      <c r="IC16" s="43">
        <f>(1+$AY16=2)*$IG16</f>
        <v/>
      </c>
      <c r="ID16" s="43">
        <f>(1+$AY16=3)*$IG16+(2+$AY16=3)*$IH16</f>
        <v/>
      </c>
      <c r="IE16" s="43">
        <f>(1+$AY16=4)*$IG16+(2+$AY16=4)*$IH16+(3+$AY16=4)*$II16</f>
        <v/>
      </c>
      <c r="IF16" s="43">
        <f>(1+$AY16=5)*$IG16+(2+$AY16=5)*$IH16+(3+$AY16=5)*$II16+(4+$AY16=5)*$IJ16</f>
        <v/>
      </c>
      <c r="IG16" s="43">
        <f>$HW16+$IB16</f>
        <v/>
      </c>
      <c r="IH16" s="43">
        <f>$HX16+$IC16</f>
        <v/>
      </c>
      <c r="II16" s="43">
        <f>$HY16+$ID16</f>
        <v/>
      </c>
      <c r="IJ16" s="43">
        <f>$HZ16+$IE16</f>
        <v/>
      </c>
      <c r="IK16" s="43">
        <f>$IA16+$IF16</f>
        <v/>
      </c>
      <c r="IL16" s="45">
        <f>$IG16*$V16</f>
        <v/>
      </c>
      <c r="IM16" s="45">
        <f>$IH16*$V16</f>
        <v/>
      </c>
      <c r="IN16" s="45">
        <f>$II16*$V16</f>
        <v/>
      </c>
      <c r="IO16" s="45">
        <f>$IJ16*$V16</f>
        <v/>
      </c>
      <c r="IP16" s="45">
        <f>$IK16*$V16</f>
        <v/>
      </c>
      <c r="IQ16" s="45">
        <f>$IB16*$V16*$X16</f>
        <v/>
      </c>
      <c r="IR16" s="45">
        <f>$IC16*$V16*$X16</f>
        <v/>
      </c>
      <c r="IS16" s="45">
        <f>$ID16*$V16*$X16</f>
        <v/>
      </c>
      <c r="IT16" s="45">
        <f>$IE16*$V16*$X16</f>
        <v/>
      </c>
      <c r="IU16" s="45">
        <f>$IF16*$V16*$X16</f>
        <v/>
      </c>
      <c r="IV16" s="45">
        <f>$HR16*$V16*(1-$X16)/$AY16</f>
        <v/>
      </c>
      <c r="IW16" s="45">
        <f>$HS16*$V16*(1-$X16)/$AY16</f>
        <v/>
      </c>
      <c r="IX16" s="45">
        <f>$HT16*$V16*(1-$X16)/$AY16</f>
        <v/>
      </c>
      <c r="IY16" s="45">
        <f>$HU16*$V16*(1-$X16)/$AY16</f>
        <v/>
      </c>
      <c r="IZ16" s="45">
        <f>$HV16*$V16*(1-$X16)/$AY16</f>
        <v/>
      </c>
      <c r="JA16" s="45">
        <f>$HR16*$Y16*$Z16*$AA16*8760*$BE16</f>
        <v/>
      </c>
      <c r="JB16" s="45">
        <f>$HS16*$Y16*$Z16*$AA16*8760*$BF16</f>
        <v/>
      </c>
      <c r="JC16" s="45">
        <f>$HT16*$Y16*$Z16*$AA16*8760*$BG16</f>
        <v/>
      </c>
      <c r="JD16" s="45">
        <f>$HU16*$Y16*$Z16*$AA16*8760*$BH16</f>
        <v/>
      </c>
      <c r="JE16" s="45">
        <f>$HV16*$Y16*$Z16*$AA16*8760*$BI16</f>
        <v/>
      </c>
      <c r="JF16" s="45">
        <f>IF($AC16&gt;0,$AC16*$HK16,$HR16*$Y16*$AB16*12)*$BE16</f>
        <v/>
      </c>
      <c r="JG16" s="45">
        <f>IF($AC16&gt;0,$AC16*$HK16,$HS16*$Y16*$AB16*12)*$BF16</f>
        <v/>
      </c>
      <c r="JH16" s="45">
        <f>IF($AC16&gt;0,$AC16*$HK16,$HT16*$Y16*$AB16*12)*$BG16</f>
        <v/>
      </c>
      <c r="JI16" s="45">
        <f>IF($AC16&gt;0,$AC16*$HK16,$HU16*$Y16*$AB16*12)*$BH16</f>
        <v/>
      </c>
      <c r="JJ16" s="45">
        <f>IF($AC16&gt;0,$AC16*$HK16,$HV16*$Y16*$AB16*12)*$BI16</f>
        <v/>
      </c>
      <c r="JK16" s="45">
        <f>$HR16*$V16*$AD16*$BE16</f>
        <v/>
      </c>
      <c r="JL16" s="45">
        <f>$HS16*$V16*$AD16*$BF16</f>
        <v/>
      </c>
      <c r="JM16" s="45">
        <f>$HT16*$V16*$AD16*$BG16</f>
        <v/>
      </c>
      <c r="JN16" s="45">
        <f>$HU16*$V16*$AD16*$BH16</f>
        <v/>
      </c>
      <c r="JO16" s="45">
        <f>$HV16*$V16*$AD16*$BI16</f>
        <v/>
      </c>
      <c r="JP16" s="45">
        <f>$AE16*$BE16*$HK16</f>
        <v/>
      </c>
      <c r="JQ16" s="45">
        <f>$AE16*$BF16*$HK16</f>
        <v/>
      </c>
      <c r="JR16" s="45">
        <f>$AE16*$BG16*$HK16</f>
        <v/>
      </c>
      <c r="JS16" s="45">
        <f>$AE16*$BH16*$HK16</f>
        <v/>
      </c>
      <c r="JT16" s="45">
        <f>$AE16*$BI16*$HK16</f>
        <v/>
      </c>
      <c r="JU16" s="45">
        <f>$AQ16*$AG16*$BE16*$HK16</f>
        <v/>
      </c>
      <c r="JV16" s="45">
        <f>$AQ16*$AG16*$BF16*$HK16</f>
        <v/>
      </c>
      <c r="JW16" s="45">
        <f>$AQ16*$AG16*$BG16*$HK16</f>
        <v/>
      </c>
      <c r="JX16" s="45">
        <f>$AQ16*$AG16*$BH16*$HK16</f>
        <v/>
      </c>
      <c r="JY16" s="45">
        <f>$AQ16*$AG16*$BI16*$HK16</f>
        <v/>
      </c>
      <c r="JZ16" s="45">
        <f>$BU16*(1-$HJ16)/1000000*$CJ16</f>
        <v/>
      </c>
      <c r="KA16" s="45">
        <f>$BV16*(1-$HJ16)/1000000*$CK16</f>
        <v/>
      </c>
      <c r="KB16" s="45">
        <f>$BW16*(1-$HJ16)/1000000*$CL16</f>
        <v/>
      </c>
      <c r="KC16" s="45">
        <f>$BX16*(1-$HJ16)/1000000*$CM16</f>
        <v/>
      </c>
      <c r="KD16" s="45">
        <f>$BY16*(1-$HJ16)/1000000*$CN16</f>
        <v/>
      </c>
      <c r="KE16" s="45">
        <f>$CT16*$HL16</f>
        <v/>
      </c>
      <c r="KF16" s="45">
        <f>$CU16*$HL16</f>
        <v/>
      </c>
      <c r="KG16" s="45">
        <f>$CV16*$HL16</f>
        <v/>
      </c>
      <c r="KH16" s="45">
        <f>$CW16*$HL16</f>
        <v/>
      </c>
      <c r="KI16" s="45">
        <f>$CX16*$HL16</f>
        <v/>
      </c>
      <c r="KJ16" s="45">
        <f>IF(1=1,$R16*$HL16+$AH16*$HK16+$AK16,0)</f>
        <v/>
      </c>
      <c r="KK16" s="45">
        <f>IF(2=1,$R16*$HL16+$AH16*$HK16+$AK16,0)</f>
        <v/>
      </c>
      <c r="KL16" s="45">
        <f>IF(3=1,$R16*$HL16+$AH16*$HK16+$AK16,0)</f>
        <v/>
      </c>
      <c r="KM16" s="45">
        <f>IF(4=1,$R16*$HL16+$AH16*$HK16+$AK16,0)</f>
        <v/>
      </c>
      <c r="KN16" s="45">
        <f>IF(5=1,$R16*$HL16+$AH16*$HK16+$AK16,0)</f>
        <v/>
      </c>
      <c r="KO16" s="45">
        <f>$IV16+$JA16+$JF16+$JK16+$JP16+$JU16+$JZ16+$KE16+$KJ16</f>
        <v/>
      </c>
      <c r="KP16" s="45">
        <f>$IW16+$JB16+$JG16+$JL16+$JQ16+$JV16+$KA16+$KF16+$KK16</f>
        <v/>
      </c>
      <c r="KQ16" s="45">
        <f>$IX16+$JC16+$JH16+$JM16+$JR16+$JW16+$KB16+$KG16+$KL16</f>
        <v/>
      </c>
      <c r="KR16" s="45">
        <f>$IY16+$JD16+$JI16+$JN16+$JS16+$JX16+$KC16+$KH16+$KM16</f>
        <v/>
      </c>
      <c r="KS16" s="45">
        <f>$IZ16+$JE16+$JJ16+$JO16+$JT16+$JY16+$KD16+$KI16+$KN16</f>
        <v/>
      </c>
      <c r="KT16" s="45">
        <f>$IL16-$IQ16+$KJ16</f>
        <v/>
      </c>
      <c r="KU16" s="45">
        <f>$IM16-$IR16+$KK16</f>
        <v/>
      </c>
      <c r="KV16" s="45">
        <f>$IN16-$IS16+$KL16</f>
        <v/>
      </c>
      <c r="KW16" s="45">
        <f>$IO16-$IT16+$KM16</f>
        <v/>
      </c>
      <c r="KX16" s="45">
        <f>$IP16-$IU16+$KN16</f>
        <v/>
      </c>
      <c r="KY16" s="45">
        <f>$JA16+$JF16+$JK16+$JP16+$JU16+$JZ16+$KE16</f>
        <v/>
      </c>
      <c r="KZ16" s="45">
        <f>$JB16+$JG16+$JL16+$JQ16+$JV16+$KA16+$KF16</f>
        <v/>
      </c>
      <c r="LA16" s="45">
        <f>$JC16+$JH16+$JM16+$JR16+$JW16+$KB16+$KG16</f>
        <v/>
      </c>
      <c r="LB16" s="45">
        <f>$JD16+$JI16+$JN16+$JS16+$JX16+$KC16+$KH16</f>
        <v/>
      </c>
      <c r="LC16" s="45">
        <f>$JE16+$JJ16+$JO16+$JT16+$JY16+$KD16+$KI16</f>
        <v/>
      </c>
      <c r="LD16" s="45">
        <f>((1&lt;=$AX16)*(1&gt;$AX16-$AY16))*$IG16*$V16*MAX(0,1-(1-$X16)*($AX16-1+1)/$AY16)+((2&lt;=$AX16)*(2&gt;$AX16-$AY16))*$IH16*$V16*MAX(0,1-(1-$X16)*($AX16-2+1)/$AY16)+((3&lt;=$AX16)*(3&gt;$AX16-$AY16))*$II16*$V16*MAX(0,1-(1-$X16)*($AX16-3+1)/$AY16)+((4&lt;=$AX16)*(4&gt;$AX16-$AY16))*$IJ16*$V16*MAX(0,1-(1-$X16)*($AX16-4+1)/$AY16)+((5&lt;=$AX16)*(5&gt;$AX16-$AY16))*$IK16*$V16*MAX(0,1-(1-$X16)*($AX16-5+1)/$AY16)</f>
        <v/>
      </c>
      <c r="LE16" s="45">
        <f>SUMPRODUCT($AZ16:$BD16,$KO16:$KS16)</f>
        <v/>
      </c>
      <c r="LF16" s="45">
        <f>SUM($KO16:$KQ16)</f>
        <v/>
      </c>
      <c r="LG16" s="45">
        <f>SUM($KO16:$KS16)</f>
        <v/>
      </c>
      <c r="LH16" s="45">
        <f>SUMPRODUCT($AZ16:$BD16,$KT16:$KX16,$BJ16:$BN16)+SUMPRODUCT($AZ16:$BD16,$KY16:$LC16,$BO16:$BS16)-$LD16/(1+$AM16)^$AX16</f>
        <v/>
      </c>
      <c r="LI16" s="43">
        <f>$BU16/1000000</f>
        <v/>
      </c>
      <c r="LJ16" s="44">
        <f>IF($LI16&gt;0,$DD16/$LI16,0)</f>
        <v/>
      </c>
      <c r="LK16" s="44">
        <f>IF($LI16&gt;0,$GP16/$LI16,0)</f>
        <v/>
      </c>
      <c r="LL16" s="44">
        <f>IF($LI16&gt;0,$KO16/$LI16,0)</f>
        <v/>
      </c>
      <c r="LM16" s="43">
        <f>$AP16*31536000/1000000</f>
        <v/>
      </c>
      <c r="LN16" s="43">
        <f>$EC16*$LM16</f>
        <v/>
      </c>
      <c r="LO16" s="45">
        <f>$FG16+$FL16+$FQ16+$FV16+$GA16+$GF16</f>
        <v/>
      </c>
      <c r="LP16" s="46">
        <f>IF($LN16*$CJ16&gt;0,MAX(0,($LO16-$CT16)/($LN16*$CJ16)),0)</f>
        <v/>
      </c>
      <c r="LQ16" s="46">
        <f>IF($LN16&gt;0,$LI16/$LN16,0)</f>
        <v/>
      </c>
      <c r="LR16" s="46">
        <f>1/($M16*$AI16)</f>
        <v/>
      </c>
      <c r="LS16" s="43">
        <f>$HR16*$LM16</f>
        <v/>
      </c>
      <c r="LT16" s="45">
        <f>$IV16+$JA16+$JF16+$JK16+$JP16+$JU16</f>
        <v/>
      </c>
      <c r="LU16" s="46">
        <f>IF($LS16*$CJ16&gt;0,$LT16/($LS16*$CJ16),0)</f>
        <v/>
      </c>
      <c r="LV16" s="46">
        <f>IF($LS16&gt;0,$LI16*$HJ16/$LS16,0)</f>
        <v/>
      </c>
      <c r="LW16" s="45">
        <f>$V16*(1-$X16)/$AY16+$Y16*$Z16*$AA16*8760+IF($AC16&gt;0,0,$Y16*$AB16*12)+$V16*$AD16</f>
        <v/>
      </c>
      <c r="LX16" s="46">
        <f>IF($LM16*$CJ16&gt;0,$LW16/($LM16*$CJ16),0)</f>
        <v/>
      </c>
      <c r="LY16" s="44">
        <f>IF($LM16*$LR16&gt;0,$LW16/($LM16*$LR16),0)</f>
        <v/>
      </c>
      <c r="LZ16" s="45">
        <f>$AE16+$AF16*$AG16+IF($AC16&gt;0,$AC16,0)-$CT16</f>
        <v/>
      </c>
      <c r="MA16" s="43">
        <f>IF($CJ16&gt;$LY16,MAX(0,$LZ16)/($CJ16-$LY16)*1000000,"Not reachable")</f>
        <v/>
      </c>
      <c r="MB16" s="47">
        <f>IF(AND(ISNUMBER($MA16),$BU16&gt;0),$MA16/$BU16,"n/a")</f>
        <v/>
      </c>
      <c r="MC16" s="47">
        <f>$B16*MAX(0,$D16-1)*$E16</f>
        <v/>
      </c>
      <c r="MD16" s="45">
        <f>$MC16*$C16</f>
        <v/>
      </c>
      <c r="ME16" s="45">
        <f>$MD16*SUMPRODUCT($AZ16:$BD16,$BO16:$BS16)</f>
        <v/>
      </c>
      <c r="MF16" s="45">
        <f>IF($AO16="Yes",$ME16-$DW16,0)</f>
        <v/>
      </c>
      <c r="MG16" s="45">
        <f>IF($AO16="Yes",$ME16-$HI16,0)</f>
        <v/>
      </c>
      <c r="MH16" s="45">
        <f>IF($AO16="Yes",$ME16-$LH16,0)</f>
        <v/>
      </c>
      <c r="MI16" s="45">
        <f>IF($AO16="Yes",$MD16-$DD16,0)</f>
        <v/>
      </c>
      <c r="MJ16" s="25">
        <f>IF(AND($DW16&lt;=$HI16,$DW16&lt;=$LH16),"Rent the Frontier",IF($HI16&lt;=$LH16,"Own the Frontier","Hybrid"))</f>
        <v/>
      </c>
      <c r="MK16" s="25">
        <f>IF(AND($DT16&lt;=$HF16,$DT16&lt;=$LE16),"Rent the Frontier",IF($HF16&lt;=$LE16,"Own the Frontier","Hybrid"))</f>
        <v/>
      </c>
    </row>
    <row r="17">
      <c r="A17" s="25">
        <f>Sensitivity!A20&amp;" ("&amp;Sensitivity!C20&amp;")"</f>
        <v/>
      </c>
      <c r="B17" s="25">
        <f>Inputs!$B$5</f>
        <v/>
      </c>
      <c r="C17" s="25">
        <f>Inputs!$B$6</f>
        <v/>
      </c>
      <c r="D17" s="25">
        <f>Inputs!$B$7</f>
        <v/>
      </c>
      <c r="E17" s="25">
        <f>Inputs!$B$8</f>
        <v/>
      </c>
      <c r="F17" s="25">
        <f>Inputs!$B$12</f>
        <v/>
      </c>
      <c r="G17" s="25">
        <f>Inputs!$B$13</f>
        <v/>
      </c>
      <c r="H17" s="25">
        <f>Inputs!$B$14</f>
        <v/>
      </c>
      <c r="I17" s="25">
        <f>Inputs!$B$18</f>
        <v/>
      </c>
      <c r="J17" s="25">
        <f>Inputs!$B$19</f>
        <v/>
      </c>
      <c r="K17" s="25">
        <f>Inputs!$B$20</f>
        <v/>
      </c>
      <c r="L17" s="25">
        <f>Inputs!$B$21</f>
        <v/>
      </c>
      <c r="M17" s="25">
        <f>MAX(1,Inputs!$B$22*Sensitivity!$D$20)</f>
        <v/>
      </c>
      <c r="N17" s="25">
        <f>Inputs!$B$23</f>
        <v/>
      </c>
      <c r="O17" s="25">
        <f>Inputs!$B$26</f>
        <v/>
      </c>
      <c r="P17" s="25">
        <f>Inputs!$B$27</f>
        <v/>
      </c>
      <c r="Q17" s="25">
        <f>Inputs!$B$28</f>
        <v/>
      </c>
      <c r="R17" s="25">
        <f>Inputs!$B$29</f>
        <v/>
      </c>
      <c r="S17" s="25">
        <f>Inputs!$B$30</f>
        <v/>
      </c>
      <c r="T17" s="25">
        <f>Inputs!$B$31</f>
        <v/>
      </c>
      <c r="U17" s="25">
        <f>Inputs!$B$32</f>
        <v/>
      </c>
      <c r="V17" s="25">
        <f>Inputs!$B$35</f>
        <v/>
      </c>
      <c r="W17" s="25">
        <f>Inputs!$B$36</f>
        <v/>
      </c>
      <c r="X17" s="25">
        <f>Inputs!$B$37</f>
        <v/>
      </c>
      <c r="Y17" s="25">
        <f>Inputs!$B$38</f>
        <v/>
      </c>
      <c r="Z17" s="25">
        <f>Inputs!$B$39</f>
        <v/>
      </c>
      <c r="AA17" s="25">
        <f>Inputs!$B$40</f>
        <v/>
      </c>
      <c r="AB17" s="25">
        <f>Inputs!$B$41</f>
        <v/>
      </c>
      <c r="AC17" s="25">
        <f>Inputs!$B$42</f>
        <v/>
      </c>
      <c r="AD17" s="25">
        <f>Inputs!$B$43</f>
        <v/>
      </c>
      <c r="AE17" s="25">
        <f>Inputs!$B$44</f>
        <v/>
      </c>
      <c r="AF17" s="25">
        <f>Inputs!$B$45</f>
        <v/>
      </c>
      <c r="AG17" s="25">
        <f>Inputs!$B$46</f>
        <v/>
      </c>
      <c r="AH17" s="25">
        <f>Inputs!$B$47</f>
        <v/>
      </c>
      <c r="AI17" s="25">
        <f>Inputs!$B$48</f>
        <v/>
      </c>
      <c r="AJ17" s="25">
        <f>IF(ISNUMBER(Inputs!$B$51),Inputs!$B$51,"")</f>
        <v/>
      </c>
      <c r="AK17" s="25">
        <f>Inputs!$B$52</f>
        <v/>
      </c>
      <c r="AL17" s="25">
        <f>Inputs!$B$55</f>
        <v/>
      </c>
      <c r="AM17" s="25">
        <f>Inputs!$B$56</f>
        <v/>
      </c>
      <c r="AN17" s="25">
        <f>Inputs!$B$57</f>
        <v/>
      </c>
      <c r="AO17" s="25">
        <f>Inputs!$B$58</f>
        <v/>
      </c>
      <c r="AP17" s="25">
        <f>Inputs!$B$61</f>
        <v/>
      </c>
      <c r="AQ17" s="25">
        <f>Inputs!$B$62</f>
        <v/>
      </c>
      <c r="AR17" s="25">
        <f>1</f>
        <v/>
      </c>
      <c r="AS17" s="25" t="n">
        <v>1</v>
      </c>
      <c r="AT17" s="25" t="n">
        <v>2</v>
      </c>
      <c r="AU17" s="25" t="n">
        <v>3</v>
      </c>
      <c r="AV17" s="25" t="n">
        <v>4</v>
      </c>
      <c r="AW17" s="25" t="n">
        <v>5</v>
      </c>
      <c r="AX17" s="25">
        <f>MIN(5,MAX(1,ROUND($AL17,0)))</f>
        <v/>
      </c>
      <c r="AY17" s="25">
        <f>MAX(1,ROUND($W17,0))</f>
        <v/>
      </c>
      <c r="AZ17" s="25">
        <f>IF(1&lt;=$AX17,1,0)</f>
        <v/>
      </c>
      <c r="BA17" s="25">
        <f>IF(2&lt;=$AX17,1,0)</f>
        <v/>
      </c>
      <c r="BB17" s="25">
        <f>IF(3&lt;=$AX17,1,0)</f>
        <v/>
      </c>
      <c r="BC17" s="25">
        <f>IF(4&lt;=$AX17,1,0)</f>
        <v/>
      </c>
      <c r="BD17" s="25">
        <f>IF(5&lt;=$AX17,1,0)</f>
        <v/>
      </c>
      <c r="BE17" s="52">
        <f>(1+$AN17)^(1-1)</f>
        <v/>
      </c>
      <c r="BF17" s="52">
        <f>(1+$AN17)^(2-1)</f>
        <v/>
      </c>
      <c r="BG17" s="52">
        <f>(1+$AN17)^(3-1)</f>
        <v/>
      </c>
      <c r="BH17" s="52">
        <f>(1+$AN17)^(4-1)</f>
        <v/>
      </c>
      <c r="BI17" s="52">
        <f>(1+$AN17)^(5-1)</f>
        <v/>
      </c>
      <c r="BJ17" s="53">
        <f>1/(1+$AM17)^(1-1)</f>
        <v/>
      </c>
      <c r="BK17" s="53">
        <f>1/(1+$AM17)^(2-1)</f>
        <v/>
      </c>
      <c r="BL17" s="53">
        <f>1/(1+$AM17)^(3-1)</f>
        <v/>
      </c>
      <c r="BM17" s="53">
        <f>1/(1+$AM17)^(4-1)</f>
        <v/>
      </c>
      <c r="BN17" s="53">
        <f>1/(1+$AM17)^(5-1)</f>
        <v/>
      </c>
      <c r="BO17" s="53">
        <f>1/(1+$AM17)^1</f>
        <v/>
      </c>
      <c r="BP17" s="53">
        <f>1/(1+$AM17)^2</f>
        <v/>
      </c>
      <c r="BQ17" s="53">
        <f>1/(1+$AM17)^3</f>
        <v/>
      </c>
      <c r="BR17" s="53">
        <f>1/(1+$AM17)^4</f>
        <v/>
      </c>
      <c r="BS17" s="53">
        <f>1/(1+$AM17)^5</f>
        <v/>
      </c>
      <c r="BT17" s="43">
        <f>IF(AND($I17="Direct monthly estimate",$J17&gt;0),$J17,$D17*$K17*$L17)</f>
        <v/>
      </c>
      <c r="BU17" s="43">
        <f>$BT17*$B17*12*(1+$N17)^(1-1)</f>
        <v/>
      </c>
      <c r="BV17" s="43">
        <f>$BT17*$B17*12*(1+$N17)^(2-1)</f>
        <v/>
      </c>
      <c r="BW17" s="43">
        <f>$BT17*$B17*12*(1+$N17)^(3-1)</f>
        <v/>
      </c>
      <c r="BX17" s="43">
        <f>$BT17*$B17*12*(1+$N17)^(4-1)</f>
        <v/>
      </c>
      <c r="BY17" s="43">
        <f>$BT17*$B17*12*(1+$N17)^(5-1)</f>
        <v/>
      </c>
      <c r="BZ17" s="43">
        <f>$BU17/31536000*$M17</f>
        <v/>
      </c>
      <c r="CA17" s="43">
        <f>$BV17/31536000*$M17</f>
        <v/>
      </c>
      <c r="CB17" s="43">
        <f>$BW17/31536000*$M17</f>
        <v/>
      </c>
      <c r="CC17" s="43">
        <f>$BX17/31536000*$M17</f>
        <v/>
      </c>
      <c r="CD17" s="43">
        <f>$BY17/31536000*$M17</f>
        <v/>
      </c>
      <c r="CE17" s="43">
        <f>$BZ17*$AI17</f>
        <v/>
      </c>
      <c r="CF17" s="43">
        <f>$CA17*$AI17</f>
        <v/>
      </c>
      <c r="CG17" s="43">
        <f>$CB17*$AI17</f>
        <v/>
      </c>
      <c r="CH17" s="43">
        <f>$CC17*$AI17</f>
        <v/>
      </c>
      <c r="CI17" s="43">
        <f>$CD17*$AI17</f>
        <v/>
      </c>
      <c r="CJ17" s="44">
        <f>$O17*(1-$Q17)*(1-$P17)^(1-1)</f>
        <v/>
      </c>
      <c r="CK17" s="44">
        <f>$O17*(1-$Q17)*(1-$P17)^(2-1)</f>
        <v/>
      </c>
      <c r="CL17" s="44">
        <f>$O17*(1-$Q17)*(1-$P17)^(3-1)</f>
        <v/>
      </c>
      <c r="CM17" s="44">
        <f>$O17*(1-$Q17)*(1-$P17)^(4-1)</f>
        <v/>
      </c>
      <c r="CN17" s="44">
        <f>$O17*(1-$Q17)*(1-$P17)^(5-1)</f>
        <v/>
      </c>
      <c r="CO17" s="45">
        <f>$BU17/1000000*$CJ17</f>
        <v/>
      </c>
      <c r="CP17" s="45">
        <f>$BV17/1000000*$CK17</f>
        <v/>
      </c>
      <c r="CQ17" s="45">
        <f>$BW17/1000000*$CL17</f>
        <v/>
      </c>
      <c r="CR17" s="45">
        <f>$BX17/1000000*$CM17</f>
        <v/>
      </c>
      <c r="CS17" s="45">
        <f>$BY17/1000000*$CN17</f>
        <v/>
      </c>
      <c r="CT17" s="45">
        <f>($T17*$U17+$S17)*$BE17</f>
        <v/>
      </c>
      <c r="CU17" s="45">
        <f>($T17*$U17+$S17)*$BF17</f>
        <v/>
      </c>
      <c r="CV17" s="45">
        <f>($T17*$U17+$S17)*$BG17</f>
        <v/>
      </c>
      <c r="CW17" s="45">
        <f>($T17*$U17+$S17)*$BH17</f>
        <v/>
      </c>
      <c r="CX17" s="45">
        <f>($T17*$U17+$S17)*$BI17</f>
        <v/>
      </c>
      <c r="CY17" s="45">
        <f>IF(1=1,$R17,0)</f>
        <v/>
      </c>
      <c r="CZ17" s="45">
        <f>IF(2=1,$R17,0)</f>
        <v/>
      </c>
      <c r="DA17" s="45">
        <f>IF(3=1,$R17,0)</f>
        <v/>
      </c>
      <c r="DB17" s="45">
        <f>IF(4=1,$R17,0)</f>
        <v/>
      </c>
      <c r="DC17" s="45">
        <f>IF(5=1,$R17,0)</f>
        <v/>
      </c>
      <c r="DD17" s="45">
        <f>$CO17+$CT17+$CY17</f>
        <v/>
      </c>
      <c r="DE17" s="45">
        <f>$CP17+$CU17+$CZ17</f>
        <v/>
      </c>
      <c r="DF17" s="45">
        <f>$CQ17+$CV17+$DA17</f>
        <v/>
      </c>
      <c r="DG17" s="45">
        <f>$CR17+$CW17+$DB17</f>
        <v/>
      </c>
      <c r="DH17" s="45">
        <f>$CS17+$CX17+$DC17</f>
        <v/>
      </c>
      <c r="DI17" s="45">
        <f>$CY17</f>
        <v/>
      </c>
      <c r="DJ17" s="45">
        <f>$CZ17</f>
        <v/>
      </c>
      <c r="DK17" s="45">
        <f>$DA17</f>
        <v/>
      </c>
      <c r="DL17" s="45">
        <f>$DB17</f>
        <v/>
      </c>
      <c r="DM17" s="45">
        <f>$DC17</f>
        <v/>
      </c>
      <c r="DN17" s="45">
        <f>$CO17+$CT17</f>
        <v/>
      </c>
      <c r="DO17" s="45">
        <f>$CP17+$CU17</f>
        <v/>
      </c>
      <c r="DP17" s="45">
        <f>$CQ17+$CV17</f>
        <v/>
      </c>
      <c r="DQ17" s="45">
        <f>$CR17+$CW17</f>
        <v/>
      </c>
      <c r="DR17" s="45">
        <f>$CS17+$CX17</f>
        <v/>
      </c>
      <c r="DS17" s="45">
        <f>0</f>
        <v/>
      </c>
      <c r="DT17" s="45">
        <f>SUMPRODUCT($AZ17:$BD17,$DD17:$DH17)</f>
        <v/>
      </c>
      <c r="DU17" s="45">
        <f>SUM($DD17:$DF17)</f>
        <v/>
      </c>
      <c r="DV17" s="45">
        <f>SUM($DD17:$DH17)</f>
        <v/>
      </c>
      <c r="DW17" s="45">
        <f>SUMPRODUCT($AZ17:$BD17,$DI17:$DM17,$BJ17:$BN17)+SUMPRODUCT($AZ17:$BD17,$DN17:$DR17,$BO17:$BS17)-$DS17/(1+$AM17)^$AX17</f>
        <v/>
      </c>
      <c r="DX17" s="43">
        <f>IF($CE17&gt;0,ROUNDUP($CE17/$AP17,0),0)</f>
        <v/>
      </c>
      <c r="DY17" s="43">
        <f>IF($CF17&gt;0,ROUNDUP($CF17/$AP17,0),0)</f>
        <v/>
      </c>
      <c r="DZ17" s="43">
        <f>IF($CG17&gt;0,ROUNDUP($CG17/$AP17,0),0)</f>
        <v/>
      </c>
      <c r="EA17" s="43">
        <f>IF($CH17&gt;0,ROUNDUP($CH17/$AP17,0),0)</f>
        <v/>
      </c>
      <c r="EB17" s="43">
        <f>IF($CI17&gt;0,ROUNDUP($CI17/$AP17,0),0)</f>
        <v/>
      </c>
      <c r="EC17" s="43">
        <f>MAX($DX17,0)</f>
        <v/>
      </c>
      <c r="ED17" s="43">
        <f>MAX($DY17,$EC17)</f>
        <v/>
      </c>
      <c r="EE17" s="43">
        <f>MAX($DZ17,$ED17)</f>
        <v/>
      </c>
      <c r="EF17" s="43">
        <f>MAX($EA17,$EE17)</f>
        <v/>
      </c>
      <c r="EG17" s="43">
        <f>MAX($EB17,$EF17)</f>
        <v/>
      </c>
      <c r="EH17" s="43">
        <f>$EC17-0</f>
        <v/>
      </c>
      <c r="EI17" s="43">
        <f>$ED17-$EC17</f>
        <v/>
      </c>
      <c r="EJ17" s="43">
        <f>$EE17-$ED17</f>
        <v/>
      </c>
      <c r="EK17" s="43">
        <f>$EF17-$EE17</f>
        <v/>
      </c>
      <c r="EL17" s="43">
        <f>$EG17-$EF17</f>
        <v/>
      </c>
      <c r="EM17" s="43">
        <f>0</f>
        <v/>
      </c>
      <c r="EN17" s="43">
        <f>(1+$AY17=2)*$ER17</f>
        <v/>
      </c>
      <c r="EO17" s="43">
        <f>(1+$AY17=3)*$ER17+(2+$AY17=3)*$ES17</f>
        <v/>
      </c>
      <c r="EP17" s="43">
        <f>(1+$AY17=4)*$ER17+(2+$AY17=4)*$ES17+(3+$AY17=4)*$ET17</f>
        <v/>
      </c>
      <c r="EQ17" s="43">
        <f>(1+$AY17=5)*$ER17+(2+$AY17=5)*$ES17+(3+$AY17=5)*$ET17+(4+$AY17=5)*$EU17</f>
        <v/>
      </c>
      <c r="ER17" s="43">
        <f>$EH17+$EM17</f>
        <v/>
      </c>
      <c r="ES17" s="43">
        <f>$EI17+$EN17</f>
        <v/>
      </c>
      <c r="ET17" s="43">
        <f>$EJ17+$EO17</f>
        <v/>
      </c>
      <c r="EU17" s="43">
        <f>$EK17+$EP17</f>
        <v/>
      </c>
      <c r="EV17" s="43">
        <f>$EL17+$EQ17</f>
        <v/>
      </c>
      <c r="EW17" s="45">
        <f>$ER17*$V17</f>
        <v/>
      </c>
      <c r="EX17" s="45">
        <f>$ES17*$V17</f>
        <v/>
      </c>
      <c r="EY17" s="45">
        <f>$ET17*$V17</f>
        <v/>
      </c>
      <c r="EZ17" s="45">
        <f>$EU17*$V17</f>
        <v/>
      </c>
      <c r="FA17" s="45">
        <f>$EV17*$V17</f>
        <v/>
      </c>
      <c r="FB17" s="45">
        <f>$EM17*$V17*$X17</f>
        <v/>
      </c>
      <c r="FC17" s="45">
        <f>$EN17*$V17*$X17</f>
        <v/>
      </c>
      <c r="FD17" s="45">
        <f>$EO17*$V17*$X17</f>
        <v/>
      </c>
      <c r="FE17" s="45">
        <f>$EP17*$V17*$X17</f>
        <v/>
      </c>
      <c r="FF17" s="45">
        <f>$EQ17*$V17*$X17</f>
        <v/>
      </c>
      <c r="FG17" s="45">
        <f>$EC17*$V17*(1-$X17)/$AY17</f>
        <v/>
      </c>
      <c r="FH17" s="45">
        <f>$ED17*$V17*(1-$X17)/$AY17</f>
        <v/>
      </c>
      <c r="FI17" s="45">
        <f>$EE17*$V17*(1-$X17)/$AY17</f>
        <v/>
      </c>
      <c r="FJ17" s="45">
        <f>$EF17*$V17*(1-$X17)/$AY17</f>
        <v/>
      </c>
      <c r="FK17" s="45">
        <f>$EG17*$V17*(1-$X17)/$AY17</f>
        <v/>
      </c>
      <c r="FL17" s="45">
        <f>$EC17*$Y17*$Z17*$AA17*8760*$BE17</f>
        <v/>
      </c>
      <c r="FM17" s="45">
        <f>$ED17*$Y17*$Z17*$AA17*8760*$BF17</f>
        <v/>
      </c>
      <c r="FN17" s="45">
        <f>$EE17*$Y17*$Z17*$AA17*8760*$BG17</f>
        <v/>
      </c>
      <c r="FO17" s="45">
        <f>$EF17*$Y17*$Z17*$AA17*8760*$BH17</f>
        <v/>
      </c>
      <c r="FP17" s="45">
        <f>$EG17*$Y17*$Z17*$AA17*8760*$BI17</f>
        <v/>
      </c>
      <c r="FQ17" s="45">
        <f>IF($AC17&gt;0,$AC17,$EC17*$Y17*$AB17*12)*$BE17</f>
        <v/>
      </c>
      <c r="FR17" s="45">
        <f>IF($AC17&gt;0,$AC17,$ED17*$Y17*$AB17*12)*$BF17</f>
        <v/>
      </c>
      <c r="FS17" s="45">
        <f>IF($AC17&gt;0,$AC17,$EE17*$Y17*$AB17*12)*$BG17</f>
        <v/>
      </c>
      <c r="FT17" s="45">
        <f>IF($AC17&gt;0,$AC17,$EF17*$Y17*$AB17*12)*$BH17</f>
        <v/>
      </c>
      <c r="FU17" s="45">
        <f>IF($AC17&gt;0,$AC17,$EG17*$Y17*$AB17*12)*$BI17</f>
        <v/>
      </c>
      <c r="FV17" s="45">
        <f>$EC17*$V17*$AD17*$BE17</f>
        <v/>
      </c>
      <c r="FW17" s="45">
        <f>$ED17*$V17*$AD17*$BF17</f>
        <v/>
      </c>
      <c r="FX17" s="45">
        <f>$EE17*$V17*$AD17*$BG17</f>
        <v/>
      </c>
      <c r="FY17" s="45">
        <f>$EF17*$V17*$AD17*$BH17</f>
        <v/>
      </c>
      <c r="FZ17" s="45">
        <f>$EG17*$V17*$AD17*$BI17</f>
        <v/>
      </c>
      <c r="GA17" s="45">
        <f>$AE17*$BE17</f>
        <v/>
      </c>
      <c r="GB17" s="45">
        <f>$AE17*$BF17</f>
        <v/>
      </c>
      <c r="GC17" s="45">
        <f>$AE17*$BG17</f>
        <v/>
      </c>
      <c r="GD17" s="45">
        <f>$AE17*$BH17</f>
        <v/>
      </c>
      <c r="GE17" s="45">
        <f>$AE17*$BI17</f>
        <v/>
      </c>
      <c r="GF17" s="45">
        <f>$AF17*$AG17*$BE17</f>
        <v/>
      </c>
      <c r="GG17" s="45">
        <f>$AF17*$AG17*$BF17</f>
        <v/>
      </c>
      <c r="GH17" s="45">
        <f>$AF17*$AG17*$BG17</f>
        <v/>
      </c>
      <c r="GI17" s="45">
        <f>$AF17*$AG17*$BH17</f>
        <v/>
      </c>
      <c r="GJ17" s="45">
        <f>$AF17*$AG17*$BI17</f>
        <v/>
      </c>
      <c r="GK17" s="45">
        <f>IF(1=1,$AH17,0)</f>
        <v/>
      </c>
      <c r="GL17" s="45">
        <f>IF(2=1,$AH17,0)</f>
        <v/>
      </c>
      <c r="GM17" s="45">
        <f>IF(3=1,$AH17,0)</f>
        <v/>
      </c>
      <c r="GN17" s="45">
        <f>IF(4=1,$AH17,0)</f>
        <v/>
      </c>
      <c r="GO17" s="45">
        <f>IF(5=1,$AH17,0)</f>
        <v/>
      </c>
      <c r="GP17" s="45">
        <f>$FG17+$FL17+$FQ17+$FV17+$GA17+$GF17+$GK17</f>
        <v/>
      </c>
      <c r="GQ17" s="45">
        <f>$FH17+$FM17+$FR17+$FW17+$GB17+$GG17+$GL17</f>
        <v/>
      </c>
      <c r="GR17" s="45">
        <f>$FI17+$FN17+$FS17+$FX17+$GC17+$GH17+$GM17</f>
        <v/>
      </c>
      <c r="GS17" s="45">
        <f>$FJ17+$FO17+$FT17+$FY17+$GD17+$GI17+$GN17</f>
        <v/>
      </c>
      <c r="GT17" s="45">
        <f>$FK17+$FP17+$FU17+$FZ17+$GE17+$GJ17+$GO17</f>
        <v/>
      </c>
      <c r="GU17" s="45">
        <f>$EW17-$FB17+$GK17</f>
        <v/>
      </c>
      <c r="GV17" s="45">
        <f>$EX17-$FC17+$GL17</f>
        <v/>
      </c>
      <c r="GW17" s="45">
        <f>$EY17-$FD17+$GM17</f>
        <v/>
      </c>
      <c r="GX17" s="45">
        <f>$EZ17-$FE17+$GN17</f>
        <v/>
      </c>
      <c r="GY17" s="45">
        <f>$FA17-$FF17+$GO17</f>
        <v/>
      </c>
      <c r="GZ17" s="45">
        <f>$FL17+$FQ17+$FV17+$GA17+$GF17</f>
        <v/>
      </c>
      <c r="HA17" s="45">
        <f>$FM17+$FR17+$FW17+$GB17+$GG17</f>
        <v/>
      </c>
      <c r="HB17" s="45">
        <f>$FN17+$FS17+$FX17+$GC17+$GH17</f>
        <v/>
      </c>
      <c r="HC17" s="45">
        <f>$FO17+$FT17+$FY17+$GD17+$GI17</f>
        <v/>
      </c>
      <c r="HD17" s="45">
        <f>$FP17+$FU17+$FZ17+$GE17+$GJ17</f>
        <v/>
      </c>
      <c r="HE17" s="45">
        <f>((1&lt;=$AX17)*(1&gt;$AX17-$AY17))*$ER17*$V17*MAX(0,1-(1-$X17)*($AX17-1+1)/$AY17)+((2&lt;=$AX17)*(2&gt;$AX17-$AY17))*$ES17*$V17*MAX(0,1-(1-$X17)*($AX17-2+1)/$AY17)+((3&lt;=$AX17)*(3&gt;$AX17-$AY17))*$ET17*$V17*MAX(0,1-(1-$X17)*($AX17-3+1)/$AY17)+((4&lt;=$AX17)*(4&gt;$AX17-$AY17))*$EU17*$V17*MAX(0,1-(1-$X17)*($AX17-4+1)/$AY17)+((5&lt;=$AX17)*(5&gt;$AX17-$AY17))*$EV17*$V17*MAX(0,1-(1-$X17)*($AX17-5+1)/$AY17)</f>
        <v/>
      </c>
      <c r="HF17" s="45">
        <f>SUMPRODUCT($AZ17:$BD17,$GP17:$GT17)</f>
        <v/>
      </c>
      <c r="HG17" s="45">
        <f>SUM($GP17:$GR17)</f>
        <v/>
      </c>
      <c r="HH17" s="45">
        <f>SUM($GP17:$GT17)</f>
        <v/>
      </c>
      <c r="HI17" s="45">
        <f>SUMPRODUCT($AZ17:$BD17,$GU17:$GY17,$BJ17:$BN17)+SUMPRODUCT($AZ17:$BD17,$GZ17:$HD17,$BO17:$BS17)-$HE17/(1+$AM17)^$AX17</f>
        <v/>
      </c>
      <c r="HJ17" s="46">
        <f>MIN(1,MAX(0,IF(ISNUMBER($AJ17),$AJ17,IF($F17+$G17+$H17&gt;0,($G17+$H17)/($F17+$G17+$H17),0))*$AR17))</f>
        <v/>
      </c>
      <c r="HK17" s="25">
        <f>IF($HJ17&gt;0,1,0)</f>
        <v/>
      </c>
      <c r="HL17" s="25">
        <f>IF($HJ17&lt;1,1,0)</f>
        <v/>
      </c>
      <c r="HM17" s="43">
        <f>IF($CE17*$HJ17&gt;0,ROUNDUP($CE17*$HJ17/$AP17,0),0)</f>
        <v/>
      </c>
      <c r="HN17" s="43">
        <f>IF($CF17*$HJ17&gt;0,ROUNDUP($CF17*$HJ17/$AP17,0),0)</f>
        <v/>
      </c>
      <c r="HO17" s="43">
        <f>IF($CG17*$HJ17&gt;0,ROUNDUP($CG17*$HJ17/$AP17,0),0)</f>
        <v/>
      </c>
      <c r="HP17" s="43">
        <f>IF($CH17*$HJ17&gt;0,ROUNDUP($CH17*$HJ17/$AP17,0),0)</f>
        <v/>
      </c>
      <c r="HQ17" s="43">
        <f>IF($CI17*$HJ17&gt;0,ROUNDUP($CI17*$HJ17/$AP17,0),0)</f>
        <v/>
      </c>
      <c r="HR17" s="43">
        <f>MAX($HM17,0)</f>
        <v/>
      </c>
      <c r="HS17" s="43">
        <f>MAX($HN17,$HR17)</f>
        <v/>
      </c>
      <c r="HT17" s="43">
        <f>MAX($HO17,$HS17)</f>
        <v/>
      </c>
      <c r="HU17" s="43">
        <f>MAX($HP17,$HT17)</f>
        <v/>
      </c>
      <c r="HV17" s="43">
        <f>MAX($HQ17,$HU17)</f>
        <v/>
      </c>
      <c r="HW17" s="43">
        <f>$HR17-0</f>
        <v/>
      </c>
      <c r="HX17" s="43">
        <f>$HS17-$HR17</f>
        <v/>
      </c>
      <c r="HY17" s="43">
        <f>$HT17-$HS17</f>
        <v/>
      </c>
      <c r="HZ17" s="43">
        <f>$HU17-$HT17</f>
        <v/>
      </c>
      <c r="IA17" s="43">
        <f>$HV17-$HU17</f>
        <v/>
      </c>
      <c r="IB17" s="43">
        <f>0</f>
        <v/>
      </c>
      <c r="IC17" s="43">
        <f>(1+$AY17=2)*$IG17</f>
        <v/>
      </c>
      <c r="ID17" s="43">
        <f>(1+$AY17=3)*$IG17+(2+$AY17=3)*$IH17</f>
        <v/>
      </c>
      <c r="IE17" s="43">
        <f>(1+$AY17=4)*$IG17+(2+$AY17=4)*$IH17+(3+$AY17=4)*$II17</f>
        <v/>
      </c>
      <c r="IF17" s="43">
        <f>(1+$AY17=5)*$IG17+(2+$AY17=5)*$IH17+(3+$AY17=5)*$II17+(4+$AY17=5)*$IJ17</f>
        <v/>
      </c>
      <c r="IG17" s="43">
        <f>$HW17+$IB17</f>
        <v/>
      </c>
      <c r="IH17" s="43">
        <f>$HX17+$IC17</f>
        <v/>
      </c>
      <c r="II17" s="43">
        <f>$HY17+$ID17</f>
        <v/>
      </c>
      <c r="IJ17" s="43">
        <f>$HZ17+$IE17</f>
        <v/>
      </c>
      <c r="IK17" s="43">
        <f>$IA17+$IF17</f>
        <v/>
      </c>
      <c r="IL17" s="45">
        <f>$IG17*$V17</f>
        <v/>
      </c>
      <c r="IM17" s="45">
        <f>$IH17*$V17</f>
        <v/>
      </c>
      <c r="IN17" s="45">
        <f>$II17*$V17</f>
        <v/>
      </c>
      <c r="IO17" s="45">
        <f>$IJ17*$V17</f>
        <v/>
      </c>
      <c r="IP17" s="45">
        <f>$IK17*$V17</f>
        <v/>
      </c>
      <c r="IQ17" s="45">
        <f>$IB17*$V17*$X17</f>
        <v/>
      </c>
      <c r="IR17" s="45">
        <f>$IC17*$V17*$X17</f>
        <v/>
      </c>
      <c r="IS17" s="45">
        <f>$ID17*$V17*$X17</f>
        <v/>
      </c>
      <c r="IT17" s="45">
        <f>$IE17*$V17*$X17</f>
        <v/>
      </c>
      <c r="IU17" s="45">
        <f>$IF17*$V17*$X17</f>
        <v/>
      </c>
      <c r="IV17" s="45">
        <f>$HR17*$V17*(1-$X17)/$AY17</f>
        <v/>
      </c>
      <c r="IW17" s="45">
        <f>$HS17*$V17*(1-$X17)/$AY17</f>
        <v/>
      </c>
      <c r="IX17" s="45">
        <f>$HT17*$V17*(1-$X17)/$AY17</f>
        <v/>
      </c>
      <c r="IY17" s="45">
        <f>$HU17*$V17*(1-$X17)/$AY17</f>
        <v/>
      </c>
      <c r="IZ17" s="45">
        <f>$HV17*$V17*(1-$X17)/$AY17</f>
        <v/>
      </c>
      <c r="JA17" s="45">
        <f>$HR17*$Y17*$Z17*$AA17*8760*$BE17</f>
        <v/>
      </c>
      <c r="JB17" s="45">
        <f>$HS17*$Y17*$Z17*$AA17*8760*$BF17</f>
        <v/>
      </c>
      <c r="JC17" s="45">
        <f>$HT17*$Y17*$Z17*$AA17*8760*$BG17</f>
        <v/>
      </c>
      <c r="JD17" s="45">
        <f>$HU17*$Y17*$Z17*$AA17*8760*$BH17</f>
        <v/>
      </c>
      <c r="JE17" s="45">
        <f>$HV17*$Y17*$Z17*$AA17*8760*$BI17</f>
        <v/>
      </c>
      <c r="JF17" s="45">
        <f>IF($AC17&gt;0,$AC17*$HK17,$HR17*$Y17*$AB17*12)*$BE17</f>
        <v/>
      </c>
      <c r="JG17" s="45">
        <f>IF($AC17&gt;0,$AC17*$HK17,$HS17*$Y17*$AB17*12)*$BF17</f>
        <v/>
      </c>
      <c r="JH17" s="45">
        <f>IF($AC17&gt;0,$AC17*$HK17,$HT17*$Y17*$AB17*12)*$BG17</f>
        <v/>
      </c>
      <c r="JI17" s="45">
        <f>IF($AC17&gt;0,$AC17*$HK17,$HU17*$Y17*$AB17*12)*$BH17</f>
        <v/>
      </c>
      <c r="JJ17" s="45">
        <f>IF($AC17&gt;0,$AC17*$HK17,$HV17*$Y17*$AB17*12)*$BI17</f>
        <v/>
      </c>
      <c r="JK17" s="45">
        <f>$HR17*$V17*$AD17*$BE17</f>
        <v/>
      </c>
      <c r="JL17" s="45">
        <f>$HS17*$V17*$AD17*$BF17</f>
        <v/>
      </c>
      <c r="JM17" s="45">
        <f>$HT17*$V17*$AD17*$BG17</f>
        <v/>
      </c>
      <c r="JN17" s="45">
        <f>$HU17*$V17*$AD17*$BH17</f>
        <v/>
      </c>
      <c r="JO17" s="45">
        <f>$HV17*$V17*$AD17*$BI17</f>
        <v/>
      </c>
      <c r="JP17" s="45">
        <f>$AE17*$BE17*$HK17</f>
        <v/>
      </c>
      <c r="JQ17" s="45">
        <f>$AE17*$BF17*$HK17</f>
        <v/>
      </c>
      <c r="JR17" s="45">
        <f>$AE17*$BG17*$HK17</f>
        <v/>
      </c>
      <c r="JS17" s="45">
        <f>$AE17*$BH17*$HK17</f>
        <v/>
      </c>
      <c r="JT17" s="45">
        <f>$AE17*$BI17*$HK17</f>
        <v/>
      </c>
      <c r="JU17" s="45">
        <f>$AQ17*$AG17*$BE17*$HK17</f>
        <v/>
      </c>
      <c r="JV17" s="45">
        <f>$AQ17*$AG17*$BF17*$HK17</f>
        <v/>
      </c>
      <c r="JW17" s="45">
        <f>$AQ17*$AG17*$BG17*$HK17</f>
        <v/>
      </c>
      <c r="JX17" s="45">
        <f>$AQ17*$AG17*$BH17*$HK17</f>
        <v/>
      </c>
      <c r="JY17" s="45">
        <f>$AQ17*$AG17*$BI17*$HK17</f>
        <v/>
      </c>
      <c r="JZ17" s="45">
        <f>$BU17*(1-$HJ17)/1000000*$CJ17</f>
        <v/>
      </c>
      <c r="KA17" s="45">
        <f>$BV17*(1-$HJ17)/1000000*$CK17</f>
        <v/>
      </c>
      <c r="KB17" s="45">
        <f>$BW17*(1-$HJ17)/1000000*$CL17</f>
        <v/>
      </c>
      <c r="KC17" s="45">
        <f>$BX17*(1-$HJ17)/1000000*$CM17</f>
        <v/>
      </c>
      <c r="KD17" s="45">
        <f>$BY17*(1-$HJ17)/1000000*$CN17</f>
        <v/>
      </c>
      <c r="KE17" s="45">
        <f>$CT17*$HL17</f>
        <v/>
      </c>
      <c r="KF17" s="45">
        <f>$CU17*$HL17</f>
        <v/>
      </c>
      <c r="KG17" s="45">
        <f>$CV17*$HL17</f>
        <v/>
      </c>
      <c r="KH17" s="45">
        <f>$CW17*$HL17</f>
        <v/>
      </c>
      <c r="KI17" s="45">
        <f>$CX17*$HL17</f>
        <v/>
      </c>
      <c r="KJ17" s="45">
        <f>IF(1=1,$R17*$HL17+$AH17*$HK17+$AK17,0)</f>
        <v/>
      </c>
      <c r="KK17" s="45">
        <f>IF(2=1,$R17*$HL17+$AH17*$HK17+$AK17,0)</f>
        <v/>
      </c>
      <c r="KL17" s="45">
        <f>IF(3=1,$R17*$HL17+$AH17*$HK17+$AK17,0)</f>
        <v/>
      </c>
      <c r="KM17" s="45">
        <f>IF(4=1,$R17*$HL17+$AH17*$HK17+$AK17,0)</f>
        <v/>
      </c>
      <c r="KN17" s="45">
        <f>IF(5=1,$R17*$HL17+$AH17*$HK17+$AK17,0)</f>
        <v/>
      </c>
      <c r="KO17" s="45">
        <f>$IV17+$JA17+$JF17+$JK17+$JP17+$JU17+$JZ17+$KE17+$KJ17</f>
        <v/>
      </c>
      <c r="KP17" s="45">
        <f>$IW17+$JB17+$JG17+$JL17+$JQ17+$JV17+$KA17+$KF17+$KK17</f>
        <v/>
      </c>
      <c r="KQ17" s="45">
        <f>$IX17+$JC17+$JH17+$JM17+$JR17+$JW17+$KB17+$KG17+$KL17</f>
        <v/>
      </c>
      <c r="KR17" s="45">
        <f>$IY17+$JD17+$JI17+$JN17+$JS17+$JX17+$KC17+$KH17+$KM17</f>
        <v/>
      </c>
      <c r="KS17" s="45">
        <f>$IZ17+$JE17+$JJ17+$JO17+$JT17+$JY17+$KD17+$KI17+$KN17</f>
        <v/>
      </c>
      <c r="KT17" s="45">
        <f>$IL17-$IQ17+$KJ17</f>
        <v/>
      </c>
      <c r="KU17" s="45">
        <f>$IM17-$IR17+$KK17</f>
        <v/>
      </c>
      <c r="KV17" s="45">
        <f>$IN17-$IS17+$KL17</f>
        <v/>
      </c>
      <c r="KW17" s="45">
        <f>$IO17-$IT17+$KM17</f>
        <v/>
      </c>
      <c r="KX17" s="45">
        <f>$IP17-$IU17+$KN17</f>
        <v/>
      </c>
      <c r="KY17" s="45">
        <f>$JA17+$JF17+$JK17+$JP17+$JU17+$JZ17+$KE17</f>
        <v/>
      </c>
      <c r="KZ17" s="45">
        <f>$JB17+$JG17+$JL17+$JQ17+$JV17+$KA17+$KF17</f>
        <v/>
      </c>
      <c r="LA17" s="45">
        <f>$JC17+$JH17+$JM17+$JR17+$JW17+$KB17+$KG17</f>
        <v/>
      </c>
      <c r="LB17" s="45">
        <f>$JD17+$JI17+$JN17+$JS17+$JX17+$KC17+$KH17</f>
        <v/>
      </c>
      <c r="LC17" s="45">
        <f>$JE17+$JJ17+$JO17+$JT17+$JY17+$KD17+$KI17</f>
        <v/>
      </c>
      <c r="LD17" s="45">
        <f>((1&lt;=$AX17)*(1&gt;$AX17-$AY17))*$IG17*$V17*MAX(0,1-(1-$X17)*($AX17-1+1)/$AY17)+((2&lt;=$AX17)*(2&gt;$AX17-$AY17))*$IH17*$V17*MAX(0,1-(1-$X17)*($AX17-2+1)/$AY17)+((3&lt;=$AX17)*(3&gt;$AX17-$AY17))*$II17*$V17*MAX(0,1-(1-$X17)*($AX17-3+1)/$AY17)+((4&lt;=$AX17)*(4&gt;$AX17-$AY17))*$IJ17*$V17*MAX(0,1-(1-$X17)*($AX17-4+1)/$AY17)+((5&lt;=$AX17)*(5&gt;$AX17-$AY17))*$IK17*$V17*MAX(0,1-(1-$X17)*($AX17-5+1)/$AY17)</f>
        <v/>
      </c>
      <c r="LE17" s="45">
        <f>SUMPRODUCT($AZ17:$BD17,$KO17:$KS17)</f>
        <v/>
      </c>
      <c r="LF17" s="45">
        <f>SUM($KO17:$KQ17)</f>
        <v/>
      </c>
      <c r="LG17" s="45">
        <f>SUM($KO17:$KS17)</f>
        <v/>
      </c>
      <c r="LH17" s="45">
        <f>SUMPRODUCT($AZ17:$BD17,$KT17:$KX17,$BJ17:$BN17)+SUMPRODUCT($AZ17:$BD17,$KY17:$LC17,$BO17:$BS17)-$LD17/(1+$AM17)^$AX17</f>
        <v/>
      </c>
      <c r="LI17" s="43">
        <f>$BU17/1000000</f>
        <v/>
      </c>
      <c r="LJ17" s="44">
        <f>IF($LI17&gt;0,$DD17/$LI17,0)</f>
        <v/>
      </c>
      <c r="LK17" s="44">
        <f>IF($LI17&gt;0,$GP17/$LI17,0)</f>
        <v/>
      </c>
      <c r="LL17" s="44">
        <f>IF($LI17&gt;0,$KO17/$LI17,0)</f>
        <v/>
      </c>
      <c r="LM17" s="43">
        <f>$AP17*31536000/1000000</f>
        <v/>
      </c>
      <c r="LN17" s="43">
        <f>$EC17*$LM17</f>
        <v/>
      </c>
      <c r="LO17" s="45">
        <f>$FG17+$FL17+$FQ17+$FV17+$GA17+$GF17</f>
        <v/>
      </c>
      <c r="LP17" s="46">
        <f>IF($LN17*$CJ17&gt;0,MAX(0,($LO17-$CT17)/($LN17*$CJ17)),0)</f>
        <v/>
      </c>
      <c r="LQ17" s="46">
        <f>IF($LN17&gt;0,$LI17/$LN17,0)</f>
        <v/>
      </c>
      <c r="LR17" s="46">
        <f>1/($M17*$AI17)</f>
        <v/>
      </c>
      <c r="LS17" s="43">
        <f>$HR17*$LM17</f>
        <v/>
      </c>
      <c r="LT17" s="45">
        <f>$IV17+$JA17+$JF17+$JK17+$JP17+$JU17</f>
        <v/>
      </c>
      <c r="LU17" s="46">
        <f>IF($LS17*$CJ17&gt;0,$LT17/($LS17*$CJ17),0)</f>
        <v/>
      </c>
      <c r="LV17" s="46">
        <f>IF($LS17&gt;0,$LI17*$HJ17/$LS17,0)</f>
        <v/>
      </c>
      <c r="LW17" s="45">
        <f>$V17*(1-$X17)/$AY17+$Y17*$Z17*$AA17*8760+IF($AC17&gt;0,0,$Y17*$AB17*12)+$V17*$AD17</f>
        <v/>
      </c>
      <c r="LX17" s="46">
        <f>IF($LM17*$CJ17&gt;0,$LW17/($LM17*$CJ17),0)</f>
        <v/>
      </c>
      <c r="LY17" s="44">
        <f>IF($LM17*$LR17&gt;0,$LW17/($LM17*$LR17),0)</f>
        <v/>
      </c>
      <c r="LZ17" s="45">
        <f>$AE17+$AF17*$AG17+IF($AC17&gt;0,$AC17,0)-$CT17</f>
        <v/>
      </c>
      <c r="MA17" s="43">
        <f>IF($CJ17&gt;$LY17,MAX(0,$LZ17)/($CJ17-$LY17)*1000000,"Not reachable")</f>
        <v/>
      </c>
      <c r="MB17" s="47">
        <f>IF(AND(ISNUMBER($MA17),$BU17&gt;0),$MA17/$BU17,"n/a")</f>
        <v/>
      </c>
      <c r="MC17" s="47">
        <f>$B17*MAX(0,$D17-1)*$E17</f>
        <v/>
      </c>
      <c r="MD17" s="45">
        <f>$MC17*$C17</f>
        <v/>
      </c>
      <c r="ME17" s="45">
        <f>$MD17*SUMPRODUCT($AZ17:$BD17,$BO17:$BS17)</f>
        <v/>
      </c>
      <c r="MF17" s="45">
        <f>IF($AO17="Yes",$ME17-$DW17,0)</f>
        <v/>
      </c>
      <c r="MG17" s="45">
        <f>IF($AO17="Yes",$ME17-$HI17,0)</f>
        <v/>
      </c>
      <c r="MH17" s="45">
        <f>IF($AO17="Yes",$ME17-$LH17,0)</f>
        <v/>
      </c>
      <c r="MI17" s="45">
        <f>IF($AO17="Yes",$MD17-$DD17,0)</f>
        <v/>
      </c>
      <c r="MJ17" s="25">
        <f>IF(AND($DW17&lt;=$HI17,$DW17&lt;=$LH17),"Rent the Frontier",IF($HI17&lt;=$LH17,"Own the Frontier","Hybrid"))</f>
        <v/>
      </c>
      <c r="MK17" s="25">
        <f>IF(AND($DT17&lt;=$HF17,$DT17&lt;=$LE17),"Rent the Frontier",IF($HF17&lt;=$LE17,"Own the Frontier","Hybrid"))</f>
        <v/>
      </c>
    </row>
    <row r="18">
      <c r="A18" s="25">
        <f>Sensitivity!A21&amp;" ("&amp;Sensitivity!C21&amp;")"</f>
        <v/>
      </c>
      <c r="B18" s="25">
        <f>Inputs!$B$5</f>
        <v/>
      </c>
      <c r="C18" s="25">
        <f>Inputs!$B$6</f>
        <v/>
      </c>
      <c r="D18" s="25">
        <f>Inputs!$B$7</f>
        <v/>
      </c>
      <c r="E18" s="25">
        <f>Inputs!$B$8</f>
        <v/>
      </c>
      <c r="F18" s="25">
        <f>Inputs!$B$12</f>
        <v/>
      </c>
      <c r="G18" s="25">
        <f>Inputs!$B$13</f>
        <v/>
      </c>
      <c r="H18" s="25">
        <f>Inputs!$B$14</f>
        <v/>
      </c>
      <c r="I18" s="25">
        <f>Inputs!$B$18</f>
        <v/>
      </c>
      <c r="J18" s="25">
        <f>Inputs!$B$19</f>
        <v/>
      </c>
      <c r="K18" s="25">
        <f>Inputs!$B$20</f>
        <v/>
      </c>
      <c r="L18" s="25">
        <f>Inputs!$B$21</f>
        <v/>
      </c>
      <c r="M18" s="25">
        <f>MAX(1,Inputs!$B$22*Sensitivity!$D$21)</f>
        <v/>
      </c>
      <c r="N18" s="25">
        <f>Inputs!$B$23</f>
        <v/>
      </c>
      <c r="O18" s="25">
        <f>Inputs!$B$26</f>
        <v/>
      </c>
      <c r="P18" s="25">
        <f>Inputs!$B$27</f>
        <v/>
      </c>
      <c r="Q18" s="25">
        <f>Inputs!$B$28</f>
        <v/>
      </c>
      <c r="R18" s="25">
        <f>Inputs!$B$29</f>
        <v/>
      </c>
      <c r="S18" s="25">
        <f>Inputs!$B$30</f>
        <v/>
      </c>
      <c r="T18" s="25">
        <f>Inputs!$B$31</f>
        <v/>
      </c>
      <c r="U18" s="25">
        <f>Inputs!$B$32</f>
        <v/>
      </c>
      <c r="V18" s="25">
        <f>Inputs!$B$35</f>
        <v/>
      </c>
      <c r="W18" s="25">
        <f>Inputs!$B$36</f>
        <v/>
      </c>
      <c r="X18" s="25">
        <f>Inputs!$B$37</f>
        <v/>
      </c>
      <c r="Y18" s="25">
        <f>Inputs!$B$38</f>
        <v/>
      </c>
      <c r="Z18" s="25">
        <f>Inputs!$B$39</f>
        <v/>
      </c>
      <c r="AA18" s="25">
        <f>Inputs!$B$40</f>
        <v/>
      </c>
      <c r="AB18" s="25">
        <f>Inputs!$B$41</f>
        <v/>
      </c>
      <c r="AC18" s="25">
        <f>Inputs!$B$42</f>
        <v/>
      </c>
      <c r="AD18" s="25">
        <f>Inputs!$B$43</f>
        <v/>
      </c>
      <c r="AE18" s="25">
        <f>Inputs!$B$44</f>
        <v/>
      </c>
      <c r="AF18" s="25">
        <f>Inputs!$B$45</f>
        <v/>
      </c>
      <c r="AG18" s="25">
        <f>Inputs!$B$46</f>
        <v/>
      </c>
      <c r="AH18" s="25">
        <f>Inputs!$B$47</f>
        <v/>
      </c>
      <c r="AI18" s="25">
        <f>Inputs!$B$48</f>
        <v/>
      </c>
      <c r="AJ18" s="25">
        <f>IF(ISNUMBER(Inputs!$B$51),Inputs!$B$51,"")</f>
        <v/>
      </c>
      <c r="AK18" s="25">
        <f>Inputs!$B$52</f>
        <v/>
      </c>
      <c r="AL18" s="25">
        <f>Inputs!$B$55</f>
        <v/>
      </c>
      <c r="AM18" s="25">
        <f>Inputs!$B$56</f>
        <v/>
      </c>
      <c r="AN18" s="25">
        <f>Inputs!$B$57</f>
        <v/>
      </c>
      <c r="AO18" s="25">
        <f>Inputs!$B$58</f>
        <v/>
      </c>
      <c r="AP18" s="25">
        <f>Inputs!$B$61</f>
        <v/>
      </c>
      <c r="AQ18" s="25">
        <f>Inputs!$B$62</f>
        <v/>
      </c>
      <c r="AR18" s="25">
        <f>1</f>
        <v/>
      </c>
      <c r="AS18" s="25" t="n">
        <v>1</v>
      </c>
      <c r="AT18" s="25" t="n">
        <v>2</v>
      </c>
      <c r="AU18" s="25" t="n">
        <v>3</v>
      </c>
      <c r="AV18" s="25" t="n">
        <v>4</v>
      </c>
      <c r="AW18" s="25" t="n">
        <v>5</v>
      </c>
      <c r="AX18" s="25">
        <f>MIN(5,MAX(1,ROUND($AL18,0)))</f>
        <v/>
      </c>
      <c r="AY18" s="25">
        <f>MAX(1,ROUND($W18,0))</f>
        <v/>
      </c>
      <c r="AZ18" s="25">
        <f>IF(1&lt;=$AX18,1,0)</f>
        <v/>
      </c>
      <c r="BA18" s="25">
        <f>IF(2&lt;=$AX18,1,0)</f>
        <v/>
      </c>
      <c r="BB18" s="25">
        <f>IF(3&lt;=$AX18,1,0)</f>
        <v/>
      </c>
      <c r="BC18" s="25">
        <f>IF(4&lt;=$AX18,1,0)</f>
        <v/>
      </c>
      <c r="BD18" s="25">
        <f>IF(5&lt;=$AX18,1,0)</f>
        <v/>
      </c>
      <c r="BE18" s="52">
        <f>(1+$AN18)^(1-1)</f>
        <v/>
      </c>
      <c r="BF18" s="52">
        <f>(1+$AN18)^(2-1)</f>
        <v/>
      </c>
      <c r="BG18" s="52">
        <f>(1+$AN18)^(3-1)</f>
        <v/>
      </c>
      <c r="BH18" s="52">
        <f>(1+$AN18)^(4-1)</f>
        <v/>
      </c>
      <c r="BI18" s="52">
        <f>(1+$AN18)^(5-1)</f>
        <v/>
      </c>
      <c r="BJ18" s="53">
        <f>1/(1+$AM18)^(1-1)</f>
        <v/>
      </c>
      <c r="BK18" s="53">
        <f>1/(1+$AM18)^(2-1)</f>
        <v/>
      </c>
      <c r="BL18" s="53">
        <f>1/(1+$AM18)^(3-1)</f>
        <v/>
      </c>
      <c r="BM18" s="53">
        <f>1/(1+$AM18)^(4-1)</f>
        <v/>
      </c>
      <c r="BN18" s="53">
        <f>1/(1+$AM18)^(5-1)</f>
        <v/>
      </c>
      <c r="BO18" s="53">
        <f>1/(1+$AM18)^1</f>
        <v/>
      </c>
      <c r="BP18" s="53">
        <f>1/(1+$AM18)^2</f>
        <v/>
      </c>
      <c r="BQ18" s="53">
        <f>1/(1+$AM18)^3</f>
        <v/>
      </c>
      <c r="BR18" s="53">
        <f>1/(1+$AM18)^4</f>
        <v/>
      </c>
      <c r="BS18" s="53">
        <f>1/(1+$AM18)^5</f>
        <v/>
      </c>
      <c r="BT18" s="43">
        <f>IF(AND($I18="Direct monthly estimate",$J18&gt;0),$J18,$D18*$K18*$L18)</f>
        <v/>
      </c>
      <c r="BU18" s="43">
        <f>$BT18*$B18*12*(1+$N18)^(1-1)</f>
        <v/>
      </c>
      <c r="BV18" s="43">
        <f>$BT18*$B18*12*(1+$N18)^(2-1)</f>
        <v/>
      </c>
      <c r="BW18" s="43">
        <f>$BT18*$B18*12*(1+$N18)^(3-1)</f>
        <v/>
      </c>
      <c r="BX18" s="43">
        <f>$BT18*$B18*12*(1+$N18)^(4-1)</f>
        <v/>
      </c>
      <c r="BY18" s="43">
        <f>$BT18*$B18*12*(1+$N18)^(5-1)</f>
        <v/>
      </c>
      <c r="BZ18" s="43">
        <f>$BU18/31536000*$M18</f>
        <v/>
      </c>
      <c r="CA18" s="43">
        <f>$BV18/31536000*$M18</f>
        <v/>
      </c>
      <c r="CB18" s="43">
        <f>$BW18/31536000*$M18</f>
        <v/>
      </c>
      <c r="CC18" s="43">
        <f>$BX18/31536000*$M18</f>
        <v/>
      </c>
      <c r="CD18" s="43">
        <f>$BY18/31536000*$M18</f>
        <v/>
      </c>
      <c r="CE18" s="43">
        <f>$BZ18*$AI18</f>
        <v/>
      </c>
      <c r="CF18" s="43">
        <f>$CA18*$AI18</f>
        <v/>
      </c>
      <c r="CG18" s="43">
        <f>$CB18*$AI18</f>
        <v/>
      </c>
      <c r="CH18" s="43">
        <f>$CC18*$AI18</f>
        <v/>
      </c>
      <c r="CI18" s="43">
        <f>$CD18*$AI18</f>
        <v/>
      </c>
      <c r="CJ18" s="44">
        <f>$O18*(1-$Q18)*(1-$P18)^(1-1)</f>
        <v/>
      </c>
      <c r="CK18" s="44">
        <f>$O18*(1-$Q18)*(1-$P18)^(2-1)</f>
        <v/>
      </c>
      <c r="CL18" s="44">
        <f>$O18*(1-$Q18)*(1-$P18)^(3-1)</f>
        <v/>
      </c>
      <c r="CM18" s="44">
        <f>$O18*(1-$Q18)*(1-$P18)^(4-1)</f>
        <v/>
      </c>
      <c r="CN18" s="44">
        <f>$O18*(1-$Q18)*(1-$P18)^(5-1)</f>
        <v/>
      </c>
      <c r="CO18" s="45">
        <f>$BU18/1000000*$CJ18</f>
        <v/>
      </c>
      <c r="CP18" s="45">
        <f>$BV18/1000000*$CK18</f>
        <v/>
      </c>
      <c r="CQ18" s="45">
        <f>$BW18/1000000*$CL18</f>
        <v/>
      </c>
      <c r="CR18" s="45">
        <f>$BX18/1000000*$CM18</f>
        <v/>
      </c>
      <c r="CS18" s="45">
        <f>$BY18/1000000*$CN18</f>
        <v/>
      </c>
      <c r="CT18" s="45">
        <f>($T18*$U18+$S18)*$BE18</f>
        <v/>
      </c>
      <c r="CU18" s="45">
        <f>($T18*$U18+$S18)*$BF18</f>
        <v/>
      </c>
      <c r="CV18" s="45">
        <f>($T18*$U18+$S18)*$BG18</f>
        <v/>
      </c>
      <c r="CW18" s="45">
        <f>($T18*$U18+$S18)*$BH18</f>
        <v/>
      </c>
      <c r="CX18" s="45">
        <f>($T18*$U18+$S18)*$BI18</f>
        <v/>
      </c>
      <c r="CY18" s="45">
        <f>IF(1=1,$R18,0)</f>
        <v/>
      </c>
      <c r="CZ18" s="45">
        <f>IF(2=1,$R18,0)</f>
        <v/>
      </c>
      <c r="DA18" s="45">
        <f>IF(3=1,$R18,0)</f>
        <v/>
      </c>
      <c r="DB18" s="45">
        <f>IF(4=1,$R18,0)</f>
        <v/>
      </c>
      <c r="DC18" s="45">
        <f>IF(5=1,$R18,0)</f>
        <v/>
      </c>
      <c r="DD18" s="45">
        <f>$CO18+$CT18+$CY18</f>
        <v/>
      </c>
      <c r="DE18" s="45">
        <f>$CP18+$CU18+$CZ18</f>
        <v/>
      </c>
      <c r="DF18" s="45">
        <f>$CQ18+$CV18+$DA18</f>
        <v/>
      </c>
      <c r="DG18" s="45">
        <f>$CR18+$CW18+$DB18</f>
        <v/>
      </c>
      <c r="DH18" s="45">
        <f>$CS18+$CX18+$DC18</f>
        <v/>
      </c>
      <c r="DI18" s="45">
        <f>$CY18</f>
        <v/>
      </c>
      <c r="DJ18" s="45">
        <f>$CZ18</f>
        <v/>
      </c>
      <c r="DK18" s="45">
        <f>$DA18</f>
        <v/>
      </c>
      <c r="DL18" s="45">
        <f>$DB18</f>
        <v/>
      </c>
      <c r="DM18" s="45">
        <f>$DC18</f>
        <v/>
      </c>
      <c r="DN18" s="45">
        <f>$CO18+$CT18</f>
        <v/>
      </c>
      <c r="DO18" s="45">
        <f>$CP18+$CU18</f>
        <v/>
      </c>
      <c r="DP18" s="45">
        <f>$CQ18+$CV18</f>
        <v/>
      </c>
      <c r="DQ18" s="45">
        <f>$CR18+$CW18</f>
        <v/>
      </c>
      <c r="DR18" s="45">
        <f>$CS18+$CX18</f>
        <v/>
      </c>
      <c r="DS18" s="45">
        <f>0</f>
        <v/>
      </c>
      <c r="DT18" s="45">
        <f>SUMPRODUCT($AZ18:$BD18,$DD18:$DH18)</f>
        <v/>
      </c>
      <c r="DU18" s="45">
        <f>SUM($DD18:$DF18)</f>
        <v/>
      </c>
      <c r="DV18" s="45">
        <f>SUM($DD18:$DH18)</f>
        <v/>
      </c>
      <c r="DW18" s="45">
        <f>SUMPRODUCT($AZ18:$BD18,$DI18:$DM18,$BJ18:$BN18)+SUMPRODUCT($AZ18:$BD18,$DN18:$DR18,$BO18:$BS18)-$DS18/(1+$AM18)^$AX18</f>
        <v/>
      </c>
      <c r="DX18" s="43">
        <f>IF($CE18&gt;0,ROUNDUP($CE18/$AP18,0),0)</f>
        <v/>
      </c>
      <c r="DY18" s="43">
        <f>IF($CF18&gt;0,ROUNDUP($CF18/$AP18,0),0)</f>
        <v/>
      </c>
      <c r="DZ18" s="43">
        <f>IF($CG18&gt;0,ROUNDUP($CG18/$AP18,0),0)</f>
        <v/>
      </c>
      <c r="EA18" s="43">
        <f>IF($CH18&gt;0,ROUNDUP($CH18/$AP18,0),0)</f>
        <v/>
      </c>
      <c r="EB18" s="43">
        <f>IF($CI18&gt;0,ROUNDUP($CI18/$AP18,0),0)</f>
        <v/>
      </c>
      <c r="EC18" s="43">
        <f>MAX($DX18,0)</f>
        <v/>
      </c>
      <c r="ED18" s="43">
        <f>MAX($DY18,$EC18)</f>
        <v/>
      </c>
      <c r="EE18" s="43">
        <f>MAX($DZ18,$ED18)</f>
        <v/>
      </c>
      <c r="EF18" s="43">
        <f>MAX($EA18,$EE18)</f>
        <v/>
      </c>
      <c r="EG18" s="43">
        <f>MAX($EB18,$EF18)</f>
        <v/>
      </c>
      <c r="EH18" s="43">
        <f>$EC18-0</f>
        <v/>
      </c>
      <c r="EI18" s="43">
        <f>$ED18-$EC18</f>
        <v/>
      </c>
      <c r="EJ18" s="43">
        <f>$EE18-$ED18</f>
        <v/>
      </c>
      <c r="EK18" s="43">
        <f>$EF18-$EE18</f>
        <v/>
      </c>
      <c r="EL18" s="43">
        <f>$EG18-$EF18</f>
        <v/>
      </c>
      <c r="EM18" s="43">
        <f>0</f>
        <v/>
      </c>
      <c r="EN18" s="43">
        <f>(1+$AY18=2)*$ER18</f>
        <v/>
      </c>
      <c r="EO18" s="43">
        <f>(1+$AY18=3)*$ER18+(2+$AY18=3)*$ES18</f>
        <v/>
      </c>
      <c r="EP18" s="43">
        <f>(1+$AY18=4)*$ER18+(2+$AY18=4)*$ES18+(3+$AY18=4)*$ET18</f>
        <v/>
      </c>
      <c r="EQ18" s="43">
        <f>(1+$AY18=5)*$ER18+(2+$AY18=5)*$ES18+(3+$AY18=5)*$ET18+(4+$AY18=5)*$EU18</f>
        <v/>
      </c>
      <c r="ER18" s="43">
        <f>$EH18+$EM18</f>
        <v/>
      </c>
      <c r="ES18" s="43">
        <f>$EI18+$EN18</f>
        <v/>
      </c>
      <c r="ET18" s="43">
        <f>$EJ18+$EO18</f>
        <v/>
      </c>
      <c r="EU18" s="43">
        <f>$EK18+$EP18</f>
        <v/>
      </c>
      <c r="EV18" s="43">
        <f>$EL18+$EQ18</f>
        <v/>
      </c>
      <c r="EW18" s="45">
        <f>$ER18*$V18</f>
        <v/>
      </c>
      <c r="EX18" s="45">
        <f>$ES18*$V18</f>
        <v/>
      </c>
      <c r="EY18" s="45">
        <f>$ET18*$V18</f>
        <v/>
      </c>
      <c r="EZ18" s="45">
        <f>$EU18*$V18</f>
        <v/>
      </c>
      <c r="FA18" s="45">
        <f>$EV18*$V18</f>
        <v/>
      </c>
      <c r="FB18" s="45">
        <f>$EM18*$V18*$X18</f>
        <v/>
      </c>
      <c r="FC18" s="45">
        <f>$EN18*$V18*$X18</f>
        <v/>
      </c>
      <c r="FD18" s="45">
        <f>$EO18*$V18*$X18</f>
        <v/>
      </c>
      <c r="FE18" s="45">
        <f>$EP18*$V18*$X18</f>
        <v/>
      </c>
      <c r="FF18" s="45">
        <f>$EQ18*$V18*$X18</f>
        <v/>
      </c>
      <c r="FG18" s="45">
        <f>$EC18*$V18*(1-$X18)/$AY18</f>
        <v/>
      </c>
      <c r="FH18" s="45">
        <f>$ED18*$V18*(1-$X18)/$AY18</f>
        <v/>
      </c>
      <c r="FI18" s="45">
        <f>$EE18*$V18*(1-$X18)/$AY18</f>
        <v/>
      </c>
      <c r="FJ18" s="45">
        <f>$EF18*$V18*(1-$X18)/$AY18</f>
        <v/>
      </c>
      <c r="FK18" s="45">
        <f>$EG18*$V18*(1-$X18)/$AY18</f>
        <v/>
      </c>
      <c r="FL18" s="45">
        <f>$EC18*$Y18*$Z18*$AA18*8760*$BE18</f>
        <v/>
      </c>
      <c r="FM18" s="45">
        <f>$ED18*$Y18*$Z18*$AA18*8760*$BF18</f>
        <v/>
      </c>
      <c r="FN18" s="45">
        <f>$EE18*$Y18*$Z18*$AA18*8760*$BG18</f>
        <v/>
      </c>
      <c r="FO18" s="45">
        <f>$EF18*$Y18*$Z18*$AA18*8760*$BH18</f>
        <v/>
      </c>
      <c r="FP18" s="45">
        <f>$EG18*$Y18*$Z18*$AA18*8760*$BI18</f>
        <v/>
      </c>
      <c r="FQ18" s="45">
        <f>IF($AC18&gt;0,$AC18,$EC18*$Y18*$AB18*12)*$BE18</f>
        <v/>
      </c>
      <c r="FR18" s="45">
        <f>IF($AC18&gt;0,$AC18,$ED18*$Y18*$AB18*12)*$BF18</f>
        <v/>
      </c>
      <c r="FS18" s="45">
        <f>IF($AC18&gt;0,$AC18,$EE18*$Y18*$AB18*12)*$BG18</f>
        <v/>
      </c>
      <c r="FT18" s="45">
        <f>IF($AC18&gt;0,$AC18,$EF18*$Y18*$AB18*12)*$BH18</f>
        <v/>
      </c>
      <c r="FU18" s="45">
        <f>IF($AC18&gt;0,$AC18,$EG18*$Y18*$AB18*12)*$BI18</f>
        <v/>
      </c>
      <c r="FV18" s="45">
        <f>$EC18*$V18*$AD18*$BE18</f>
        <v/>
      </c>
      <c r="FW18" s="45">
        <f>$ED18*$V18*$AD18*$BF18</f>
        <v/>
      </c>
      <c r="FX18" s="45">
        <f>$EE18*$V18*$AD18*$BG18</f>
        <v/>
      </c>
      <c r="FY18" s="45">
        <f>$EF18*$V18*$AD18*$BH18</f>
        <v/>
      </c>
      <c r="FZ18" s="45">
        <f>$EG18*$V18*$AD18*$BI18</f>
        <v/>
      </c>
      <c r="GA18" s="45">
        <f>$AE18*$BE18</f>
        <v/>
      </c>
      <c r="GB18" s="45">
        <f>$AE18*$BF18</f>
        <v/>
      </c>
      <c r="GC18" s="45">
        <f>$AE18*$BG18</f>
        <v/>
      </c>
      <c r="GD18" s="45">
        <f>$AE18*$BH18</f>
        <v/>
      </c>
      <c r="GE18" s="45">
        <f>$AE18*$BI18</f>
        <v/>
      </c>
      <c r="GF18" s="45">
        <f>$AF18*$AG18*$BE18</f>
        <v/>
      </c>
      <c r="GG18" s="45">
        <f>$AF18*$AG18*$BF18</f>
        <v/>
      </c>
      <c r="GH18" s="45">
        <f>$AF18*$AG18*$BG18</f>
        <v/>
      </c>
      <c r="GI18" s="45">
        <f>$AF18*$AG18*$BH18</f>
        <v/>
      </c>
      <c r="GJ18" s="45">
        <f>$AF18*$AG18*$BI18</f>
        <v/>
      </c>
      <c r="GK18" s="45">
        <f>IF(1=1,$AH18,0)</f>
        <v/>
      </c>
      <c r="GL18" s="45">
        <f>IF(2=1,$AH18,0)</f>
        <v/>
      </c>
      <c r="GM18" s="45">
        <f>IF(3=1,$AH18,0)</f>
        <v/>
      </c>
      <c r="GN18" s="45">
        <f>IF(4=1,$AH18,0)</f>
        <v/>
      </c>
      <c r="GO18" s="45">
        <f>IF(5=1,$AH18,0)</f>
        <v/>
      </c>
      <c r="GP18" s="45">
        <f>$FG18+$FL18+$FQ18+$FV18+$GA18+$GF18+$GK18</f>
        <v/>
      </c>
      <c r="GQ18" s="45">
        <f>$FH18+$FM18+$FR18+$FW18+$GB18+$GG18+$GL18</f>
        <v/>
      </c>
      <c r="GR18" s="45">
        <f>$FI18+$FN18+$FS18+$FX18+$GC18+$GH18+$GM18</f>
        <v/>
      </c>
      <c r="GS18" s="45">
        <f>$FJ18+$FO18+$FT18+$FY18+$GD18+$GI18+$GN18</f>
        <v/>
      </c>
      <c r="GT18" s="45">
        <f>$FK18+$FP18+$FU18+$FZ18+$GE18+$GJ18+$GO18</f>
        <v/>
      </c>
      <c r="GU18" s="45">
        <f>$EW18-$FB18+$GK18</f>
        <v/>
      </c>
      <c r="GV18" s="45">
        <f>$EX18-$FC18+$GL18</f>
        <v/>
      </c>
      <c r="GW18" s="45">
        <f>$EY18-$FD18+$GM18</f>
        <v/>
      </c>
      <c r="GX18" s="45">
        <f>$EZ18-$FE18+$GN18</f>
        <v/>
      </c>
      <c r="GY18" s="45">
        <f>$FA18-$FF18+$GO18</f>
        <v/>
      </c>
      <c r="GZ18" s="45">
        <f>$FL18+$FQ18+$FV18+$GA18+$GF18</f>
        <v/>
      </c>
      <c r="HA18" s="45">
        <f>$FM18+$FR18+$FW18+$GB18+$GG18</f>
        <v/>
      </c>
      <c r="HB18" s="45">
        <f>$FN18+$FS18+$FX18+$GC18+$GH18</f>
        <v/>
      </c>
      <c r="HC18" s="45">
        <f>$FO18+$FT18+$FY18+$GD18+$GI18</f>
        <v/>
      </c>
      <c r="HD18" s="45">
        <f>$FP18+$FU18+$FZ18+$GE18+$GJ18</f>
        <v/>
      </c>
      <c r="HE18" s="45">
        <f>((1&lt;=$AX18)*(1&gt;$AX18-$AY18))*$ER18*$V18*MAX(0,1-(1-$X18)*($AX18-1+1)/$AY18)+((2&lt;=$AX18)*(2&gt;$AX18-$AY18))*$ES18*$V18*MAX(0,1-(1-$X18)*($AX18-2+1)/$AY18)+((3&lt;=$AX18)*(3&gt;$AX18-$AY18))*$ET18*$V18*MAX(0,1-(1-$X18)*($AX18-3+1)/$AY18)+((4&lt;=$AX18)*(4&gt;$AX18-$AY18))*$EU18*$V18*MAX(0,1-(1-$X18)*($AX18-4+1)/$AY18)+((5&lt;=$AX18)*(5&gt;$AX18-$AY18))*$EV18*$V18*MAX(0,1-(1-$X18)*($AX18-5+1)/$AY18)</f>
        <v/>
      </c>
      <c r="HF18" s="45">
        <f>SUMPRODUCT($AZ18:$BD18,$GP18:$GT18)</f>
        <v/>
      </c>
      <c r="HG18" s="45">
        <f>SUM($GP18:$GR18)</f>
        <v/>
      </c>
      <c r="HH18" s="45">
        <f>SUM($GP18:$GT18)</f>
        <v/>
      </c>
      <c r="HI18" s="45">
        <f>SUMPRODUCT($AZ18:$BD18,$GU18:$GY18,$BJ18:$BN18)+SUMPRODUCT($AZ18:$BD18,$GZ18:$HD18,$BO18:$BS18)-$HE18/(1+$AM18)^$AX18</f>
        <v/>
      </c>
      <c r="HJ18" s="46">
        <f>MIN(1,MAX(0,IF(ISNUMBER($AJ18),$AJ18,IF($F18+$G18+$H18&gt;0,($G18+$H18)/($F18+$G18+$H18),0))*$AR18))</f>
        <v/>
      </c>
      <c r="HK18" s="25">
        <f>IF($HJ18&gt;0,1,0)</f>
        <v/>
      </c>
      <c r="HL18" s="25">
        <f>IF($HJ18&lt;1,1,0)</f>
        <v/>
      </c>
      <c r="HM18" s="43">
        <f>IF($CE18*$HJ18&gt;0,ROUNDUP($CE18*$HJ18/$AP18,0),0)</f>
        <v/>
      </c>
      <c r="HN18" s="43">
        <f>IF($CF18*$HJ18&gt;0,ROUNDUP($CF18*$HJ18/$AP18,0),0)</f>
        <v/>
      </c>
      <c r="HO18" s="43">
        <f>IF($CG18*$HJ18&gt;0,ROUNDUP($CG18*$HJ18/$AP18,0),0)</f>
        <v/>
      </c>
      <c r="HP18" s="43">
        <f>IF($CH18*$HJ18&gt;0,ROUNDUP($CH18*$HJ18/$AP18,0),0)</f>
        <v/>
      </c>
      <c r="HQ18" s="43">
        <f>IF($CI18*$HJ18&gt;0,ROUNDUP($CI18*$HJ18/$AP18,0),0)</f>
        <v/>
      </c>
      <c r="HR18" s="43">
        <f>MAX($HM18,0)</f>
        <v/>
      </c>
      <c r="HS18" s="43">
        <f>MAX($HN18,$HR18)</f>
        <v/>
      </c>
      <c r="HT18" s="43">
        <f>MAX($HO18,$HS18)</f>
        <v/>
      </c>
      <c r="HU18" s="43">
        <f>MAX($HP18,$HT18)</f>
        <v/>
      </c>
      <c r="HV18" s="43">
        <f>MAX($HQ18,$HU18)</f>
        <v/>
      </c>
      <c r="HW18" s="43">
        <f>$HR18-0</f>
        <v/>
      </c>
      <c r="HX18" s="43">
        <f>$HS18-$HR18</f>
        <v/>
      </c>
      <c r="HY18" s="43">
        <f>$HT18-$HS18</f>
        <v/>
      </c>
      <c r="HZ18" s="43">
        <f>$HU18-$HT18</f>
        <v/>
      </c>
      <c r="IA18" s="43">
        <f>$HV18-$HU18</f>
        <v/>
      </c>
      <c r="IB18" s="43">
        <f>0</f>
        <v/>
      </c>
      <c r="IC18" s="43">
        <f>(1+$AY18=2)*$IG18</f>
        <v/>
      </c>
      <c r="ID18" s="43">
        <f>(1+$AY18=3)*$IG18+(2+$AY18=3)*$IH18</f>
        <v/>
      </c>
      <c r="IE18" s="43">
        <f>(1+$AY18=4)*$IG18+(2+$AY18=4)*$IH18+(3+$AY18=4)*$II18</f>
        <v/>
      </c>
      <c r="IF18" s="43">
        <f>(1+$AY18=5)*$IG18+(2+$AY18=5)*$IH18+(3+$AY18=5)*$II18+(4+$AY18=5)*$IJ18</f>
        <v/>
      </c>
      <c r="IG18" s="43">
        <f>$HW18+$IB18</f>
        <v/>
      </c>
      <c r="IH18" s="43">
        <f>$HX18+$IC18</f>
        <v/>
      </c>
      <c r="II18" s="43">
        <f>$HY18+$ID18</f>
        <v/>
      </c>
      <c r="IJ18" s="43">
        <f>$HZ18+$IE18</f>
        <v/>
      </c>
      <c r="IK18" s="43">
        <f>$IA18+$IF18</f>
        <v/>
      </c>
      <c r="IL18" s="45">
        <f>$IG18*$V18</f>
        <v/>
      </c>
      <c r="IM18" s="45">
        <f>$IH18*$V18</f>
        <v/>
      </c>
      <c r="IN18" s="45">
        <f>$II18*$V18</f>
        <v/>
      </c>
      <c r="IO18" s="45">
        <f>$IJ18*$V18</f>
        <v/>
      </c>
      <c r="IP18" s="45">
        <f>$IK18*$V18</f>
        <v/>
      </c>
      <c r="IQ18" s="45">
        <f>$IB18*$V18*$X18</f>
        <v/>
      </c>
      <c r="IR18" s="45">
        <f>$IC18*$V18*$X18</f>
        <v/>
      </c>
      <c r="IS18" s="45">
        <f>$ID18*$V18*$X18</f>
        <v/>
      </c>
      <c r="IT18" s="45">
        <f>$IE18*$V18*$X18</f>
        <v/>
      </c>
      <c r="IU18" s="45">
        <f>$IF18*$V18*$X18</f>
        <v/>
      </c>
      <c r="IV18" s="45">
        <f>$HR18*$V18*(1-$X18)/$AY18</f>
        <v/>
      </c>
      <c r="IW18" s="45">
        <f>$HS18*$V18*(1-$X18)/$AY18</f>
        <v/>
      </c>
      <c r="IX18" s="45">
        <f>$HT18*$V18*(1-$X18)/$AY18</f>
        <v/>
      </c>
      <c r="IY18" s="45">
        <f>$HU18*$V18*(1-$X18)/$AY18</f>
        <v/>
      </c>
      <c r="IZ18" s="45">
        <f>$HV18*$V18*(1-$X18)/$AY18</f>
        <v/>
      </c>
      <c r="JA18" s="45">
        <f>$HR18*$Y18*$Z18*$AA18*8760*$BE18</f>
        <v/>
      </c>
      <c r="JB18" s="45">
        <f>$HS18*$Y18*$Z18*$AA18*8760*$BF18</f>
        <v/>
      </c>
      <c r="JC18" s="45">
        <f>$HT18*$Y18*$Z18*$AA18*8760*$BG18</f>
        <v/>
      </c>
      <c r="JD18" s="45">
        <f>$HU18*$Y18*$Z18*$AA18*8760*$BH18</f>
        <v/>
      </c>
      <c r="JE18" s="45">
        <f>$HV18*$Y18*$Z18*$AA18*8760*$BI18</f>
        <v/>
      </c>
      <c r="JF18" s="45">
        <f>IF($AC18&gt;0,$AC18*$HK18,$HR18*$Y18*$AB18*12)*$BE18</f>
        <v/>
      </c>
      <c r="JG18" s="45">
        <f>IF($AC18&gt;0,$AC18*$HK18,$HS18*$Y18*$AB18*12)*$BF18</f>
        <v/>
      </c>
      <c r="JH18" s="45">
        <f>IF($AC18&gt;0,$AC18*$HK18,$HT18*$Y18*$AB18*12)*$BG18</f>
        <v/>
      </c>
      <c r="JI18" s="45">
        <f>IF($AC18&gt;0,$AC18*$HK18,$HU18*$Y18*$AB18*12)*$BH18</f>
        <v/>
      </c>
      <c r="JJ18" s="45">
        <f>IF($AC18&gt;0,$AC18*$HK18,$HV18*$Y18*$AB18*12)*$BI18</f>
        <v/>
      </c>
      <c r="JK18" s="45">
        <f>$HR18*$V18*$AD18*$BE18</f>
        <v/>
      </c>
      <c r="JL18" s="45">
        <f>$HS18*$V18*$AD18*$BF18</f>
        <v/>
      </c>
      <c r="JM18" s="45">
        <f>$HT18*$V18*$AD18*$BG18</f>
        <v/>
      </c>
      <c r="JN18" s="45">
        <f>$HU18*$V18*$AD18*$BH18</f>
        <v/>
      </c>
      <c r="JO18" s="45">
        <f>$HV18*$V18*$AD18*$BI18</f>
        <v/>
      </c>
      <c r="JP18" s="45">
        <f>$AE18*$BE18*$HK18</f>
        <v/>
      </c>
      <c r="JQ18" s="45">
        <f>$AE18*$BF18*$HK18</f>
        <v/>
      </c>
      <c r="JR18" s="45">
        <f>$AE18*$BG18*$HK18</f>
        <v/>
      </c>
      <c r="JS18" s="45">
        <f>$AE18*$BH18*$HK18</f>
        <v/>
      </c>
      <c r="JT18" s="45">
        <f>$AE18*$BI18*$HK18</f>
        <v/>
      </c>
      <c r="JU18" s="45">
        <f>$AQ18*$AG18*$BE18*$HK18</f>
        <v/>
      </c>
      <c r="JV18" s="45">
        <f>$AQ18*$AG18*$BF18*$HK18</f>
        <v/>
      </c>
      <c r="JW18" s="45">
        <f>$AQ18*$AG18*$BG18*$HK18</f>
        <v/>
      </c>
      <c r="JX18" s="45">
        <f>$AQ18*$AG18*$BH18*$HK18</f>
        <v/>
      </c>
      <c r="JY18" s="45">
        <f>$AQ18*$AG18*$BI18*$HK18</f>
        <v/>
      </c>
      <c r="JZ18" s="45">
        <f>$BU18*(1-$HJ18)/1000000*$CJ18</f>
        <v/>
      </c>
      <c r="KA18" s="45">
        <f>$BV18*(1-$HJ18)/1000000*$CK18</f>
        <v/>
      </c>
      <c r="KB18" s="45">
        <f>$BW18*(1-$HJ18)/1000000*$CL18</f>
        <v/>
      </c>
      <c r="KC18" s="45">
        <f>$BX18*(1-$HJ18)/1000000*$CM18</f>
        <v/>
      </c>
      <c r="KD18" s="45">
        <f>$BY18*(1-$HJ18)/1000000*$CN18</f>
        <v/>
      </c>
      <c r="KE18" s="45">
        <f>$CT18*$HL18</f>
        <v/>
      </c>
      <c r="KF18" s="45">
        <f>$CU18*$HL18</f>
        <v/>
      </c>
      <c r="KG18" s="45">
        <f>$CV18*$HL18</f>
        <v/>
      </c>
      <c r="KH18" s="45">
        <f>$CW18*$HL18</f>
        <v/>
      </c>
      <c r="KI18" s="45">
        <f>$CX18*$HL18</f>
        <v/>
      </c>
      <c r="KJ18" s="45">
        <f>IF(1=1,$R18*$HL18+$AH18*$HK18+$AK18,0)</f>
        <v/>
      </c>
      <c r="KK18" s="45">
        <f>IF(2=1,$R18*$HL18+$AH18*$HK18+$AK18,0)</f>
        <v/>
      </c>
      <c r="KL18" s="45">
        <f>IF(3=1,$R18*$HL18+$AH18*$HK18+$AK18,0)</f>
        <v/>
      </c>
      <c r="KM18" s="45">
        <f>IF(4=1,$R18*$HL18+$AH18*$HK18+$AK18,0)</f>
        <v/>
      </c>
      <c r="KN18" s="45">
        <f>IF(5=1,$R18*$HL18+$AH18*$HK18+$AK18,0)</f>
        <v/>
      </c>
      <c r="KO18" s="45">
        <f>$IV18+$JA18+$JF18+$JK18+$JP18+$JU18+$JZ18+$KE18+$KJ18</f>
        <v/>
      </c>
      <c r="KP18" s="45">
        <f>$IW18+$JB18+$JG18+$JL18+$JQ18+$JV18+$KA18+$KF18+$KK18</f>
        <v/>
      </c>
      <c r="KQ18" s="45">
        <f>$IX18+$JC18+$JH18+$JM18+$JR18+$JW18+$KB18+$KG18+$KL18</f>
        <v/>
      </c>
      <c r="KR18" s="45">
        <f>$IY18+$JD18+$JI18+$JN18+$JS18+$JX18+$KC18+$KH18+$KM18</f>
        <v/>
      </c>
      <c r="KS18" s="45">
        <f>$IZ18+$JE18+$JJ18+$JO18+$JT18+$JY18+$KD18+$KI18+$KN18</f>
        <v/>
      </c>
      <c r="KT18" s="45">
        <f>$IL18-$IQ18+$KJ18</f>
        <v/>
      </c>
      <c r="KU18" s="45">
        <f>$IM18-$IR18+$KK18</f>
        <v/>
      </c>
      <c r="KV18" s="45">
        <f>$IN18-$IS18+$KL18</f>
        <v/>
      </c>
      <c r="KW18" s="45">
        <f>$IO18-$IT18+$KM18</f>
        <v/>
      </c>
      <c r="KX18" s="45">
        <f>$IP18-$IU18+$KN18</f>
        <v/>
      </c>
      <c r="KY18" s="45">
        <f>$JA18+$JF18+$JK18+$JP18+$JU18+$JZ18+$KE18</f>
        <v/>
      </c>
      <c r="KZ18" s="45">
        <f>$JB18+$JG18+$JL18+$JQ18+$JV18+$KA18+$KF18</f>
        <v/>
      </c>
      <c r="LA18" s="45">
        <f>$JC18+$JH18+$JM18+$JR18+$JW18+$KB18+$KG18</f>
        <v/>
      </c>
      <c r="LB18" s="45">
        <f>$JD18+$JI18+$JN18+$JS18+$JX18+$KC18+$KH18</f>
        <v/>
      </c>
      <c r="LC18" s="45">
        <f>$JE18+$JJ18+$JO18+$JT18+$JY18+$KD18+$KI18</f>
        <v/>
      </c>
      <c r="LD18" s="45">
        <f>((1&lt;=$AX18)*(1&gt;$AX18-$AY18))*$IG18*$V18*MAX(0,1-(1-$X18)*($AX18-1+1)/$AY18)+((2&lt;=$AX18)*(2&gt;$AX18-$AY18))*$IH18*$V18*MAX(0,1-(1-$X18)*($AX18-2+1)/$AY18)+((3&lt;=$AX18)*(3&gt;$AX18-$AY18))*$II18*$V18*MAX(0,1-(1-$X18)*($AX18-3+1)/$AY18)+((4&lt;=$AX18)*(4&gt;$AX18-$AY18))*$IJ18*$V18*MAX(0,1-(1-$X18)*($AX18-4+1)/$AY18)+((5&lt;=$AX18)*(5&gt;$AX18-$AY18))*$IK18*$V18*MAX(0,1-(1-$X18)*($AX18-5+1)/$AY18)</f>
        <v/>
      </c>
      <c r="LE18" s="45">
        <f>SUMPRODUCT($AZ18:$BD18,$KO18:$KS18)</f>
        <v/>
      </c>
      <c r="LF18" s="45">
        <f>SUM($KO18:$KQ18)</f>
        <v/>
      </c>
      <c r="LG18" s="45">
        <f>SUM($KO18:$KS18)</f>
        <v/>
      </c>
      <c r="LH18" s="45">
        <f>SUMPRODUCT($AZ18:$BD18,$KT18:$KX18,$BJ18:$BN18)+SUMPRODUCT($AZ18:$BD18,$KY18:$LC18,$BO18:$BS18)-$LD18/(1+$AM18)^$AX18</f>
        <v/>
      </c>
      <c r="LI18" s="43">
        <f>$BU18/1000000</f>
        <v/>
      </c>
      <c r="LJ18" s="44">
        <f>IF($LI18&gt;0,$DD18/$LI18,0)</f>
        <v/>
      </c>
      <c r="LK18" s="44">
        <f>IF($LI18&gt;0,$GP18/$LI18,0)</f>
        <v/>
      </c>
      <c r="LL18" s="44">
        <f>IF($LI18&gt;0,$KO18/$LI18,0)</f>
        <v/>
      </c>
      <c r="LM18" s="43">
        <f>$AP18*31536000/1000000</f>
        <v/>
      </c>
      <c r="LN18" s="43">
        <f>$EC18*$LM18</f>
        <v/>
      </c>
      <c r="LO18" s="45">
        <f>$FG18+$FL18+$FQ18+$FV18+$GA18+$GF18</f>
        <v/>
      </c>
      <c r="LP18" s="46">
        <f>IF($LN18*$CJ18&gt;0,MAX(0,($LO18-$CT18)/($LN18*$CJ18)),0)</f>
        <v/>
      </c>
      <c r="LQ18" s="46">
        <f>IF($LN18&gt;0,$LI18/$LN18,0)</f>
        <v/>
      </c>
      <c r="LR18" s="46">
        <f>1/($M18*$AI18)</f>
        <v/>
      </c>
      <c r="LS18" s="43">
        <f>$HR18*$LM18</f>
        <v/>
      </c>
      <c r="LT18" s="45">
        <f>$IV18+$JA18+$JF18+$JK18+$JP18+$JU18</f>
        <v/>
      </c>
      <c r="LU18" s="46">
        <f>IF($LS18*$CJ18&gt;0,$LT18/($LS18*$CJ18),0)</f>
        <v/>
      </c>
      <c r="LV18" s="46">
        <f>IF($LS18&gt;0,$LI18*$HJ18/$LS18,0)</f>
        <v/>
      </c>
      <c r="LW18" s="45">
        <f>$V18*(1-$X18)/$AY18+$Y18*$Z18*$AA18*8760+IF($AC18&gt;0,0,$Y18*$AB18*12)+$V18*$AD18</f>
        <v/>
      </c>
      <c r="LX18" s="46">
        <f>IF($LM18*$CJ18&gt;0,$LW18/($LM18*$CJ18),0)</f>
        <v/>
      </c>
      <c r="LY18" s="44">
        <f>IF($LM18*$LR18&gt;0,$LW18/($LM18*$LR18),0)</f>
        <v/>
      </c>
      <c r="LZ18" s="45">
        <f>$AE18+$AF18*$AG18+IF($AC18&gt;0,$AC18,0)-$CT18</f>
        <v/>
      </c>
      <c r="MA18" s="43">
        <f>IF($CJ18&gt;$LY18,MAX(0,$LZ18)/($CJ18-$LY18)*1000000,"Not reachable")</f>
        <v/>
      </c>
      <c r="MB18" s="47">
        <f>IF(AND(ISNUMBER($MA18),$BU18&gt;0),$MA18/$BU18,"n/a")</f>
        <v/>
      </c>
      <c r="MC18" s="47">
        <f>$B18*MAX(0,$D18-1)*$E18</f>
        <v/>
      </c>
      <c r="MD18" s="45">
        <f>$MC18*$C18</f>
        <v/>
      </c>
      <c r="ME18" s="45">
        <f>$MD18*SUMPRODUCT($AZ18:$BD18,$BO18:$BS18)</f>
        <v/>
      </c>
      <c r="MF18" s="45">
        <f>IF($AO18="Yes",$ME18-$DW18,0)</f>
        <v/>
      </c>
      <c r="MG18" s="45">
        <f>IF($AO18="Yes",$ME18-$HI18,0)</f>
        <v/>
      </c>
      <c r="MH18" s="45">
        <f>IF($AO18="Yes",$ME18-$LH18,0)</f>
        <v/>
      </c>
      <c r="MI18" s="45">
        <f>IF($AO18="Yes",$MD18-$DD18,0)</f>
        <v/>
      </c>
      <c r="MJ18" s="25">
        <f>IF(AND($DW18&lt;=$HI18,$DW18&lt;=$LH18),"Rent the Frontier",IF($HI18&lt;=$LH18,"Own the Frontier","Hybrid"))</f>
        <v/>
      </c>
      <c r="MK18" s="25">
        <f>IF(AND($DT18&lt;=$HF18,$DT18&lt;=$LE18),"Rent the Frontier",IF($HF18&lt;=$LE18,"Own the Frontier","Hybrid"))</f>
        <v/>
      </c>
    </row>
    <row r="19">
      <c r="A19" s="25">
        <f>Sensitivity!A22&amp;" ("&amp;Sensitivity!C22&amp;")"</f>
        <v/>
      </c>
      <c r="B19" s="25">
        <f>Inputs!$B$5</f>
        <v/>
      </c>
      <c r="C19" s="25">
        <f>Inputs!$B$6</f>
        <v/>
      </c>
      <c r="D19" s="25">
        <f>Inputs!$B$7</f>
        <v/>
      </c>
      <c r="E19" s="25">
        <f>Inputs!$B$8</f>
        <v/>
      </c>
      <c r="F19" s="25">
        <f>Inputs!$B$12</f>
        <v/>
      </c>
      <c r="G19" s="25">
        <f>Inputs!$B$13</f>
        <v/>
      </c>
      <c r="H19" s="25">
        <f>Inputs!$B$14</f>
        <v/>
      </c>
      <c r="I19" s="25">
        <f>Inputs!$B$18</f>
        <v/>
      </c>
      <c r="J19" s="25">
        <f>Inputs!$B$19</f>
        <v/>
      </c>
      <c r="K19" s="25">
        <f>Inputs!$B$20</f>
        <v/>
      </c>
      <c r="L19" s="25">
        <f>Inputs!$B$21</f>
        <v/>
      </c>
      <c r="M19" s="25">
        <f>Inputs!$B$22</f>
        <v/>
      </c>
      <c r="N19" s="25">
        <f>Inputs!$B$23</f>
        <v/>
      </c>
      <c r="O19" s="25">
        <f>Inputs!$B$26</f>
        <v/>
      </c>
      <c r="P19" s="25">
        <f>Inputs!$B$27</f>
        <v/>
      </c>
      <c r="Q19" s="25">
        <f>Inputs!$B$28</f>
        <v/>
      </c>
      <c r="R19" s="25">
        <f>Inputs!$B$29</f>
        <v/>
      </c>
      <c r="S19" s="25">
        <f>Inputs!$B$30</f>
        <v/>
      </c>
      <c r="T19" s="25">
        <f>Inputs!$B$31</f>
        <v/>
      </c>
      <c r="U19" s="25">
        <f>Inputs!$B$32</f>
        <v/>
      </c>
      <c r="V19" s="25">
        <f>Inputs!$B$35</f>
        <v/>
      </c>
      <c r="W19" s="25">
        <f>Inputs!$B$36</f>
        <v/>
      </c>
      <c r="X19" s="25">
        <f>Inputs!$B$37</f>
        <v/>
      </c>
      <c r="Y19" s="25">
        <f>Inputs!$B$38</f>
        <v/>
      </c>
      <c r="Z19" s="25">
        <f>Inputs!$B$39</f>
        <v/>
      </c>
      <c r="AA19" s="25">
        <f>Inputs!$B$40</f>
        <v/>
      </c>
      <c r="AB19" s="25">
        <f>Inputs!$B$41</f>
        <v/>
      </c>
      <c r="AC19" s="25">
        <f>Inputs!$B$42</f>
        <v/>
      </c>
      <c r="AD19" s="25">
        <f>Inputs!$B$43</f>
        <v/>
      </c>
      <c r="AE19" s="25">
        <f>Inputs!$B$44</f>
        <v/>
      </c>
      <c r="AF19" s="25">
        <f>Inputs!$B$45</f>
        <v/>
      </c>
      <c r="AG19" s="25">
        <f>Inputs!$B$46</f>
        <v/>
      </c>
      <c r="AH19" s="25">
        <f>Inputs!$B$47</f>
        <v/>
      </c>
      <c r="AI19" s="25">
        <f>MAX(1,Inputs!$B$48*Sensitivity!$D$22)</f>
        <v/>
      </c>
      <c r="AJ19" s="25">
        <f>IF(ISNUMBER(Inputs!$B$51),Inputs!$B$51,"")</f>
        <v/>
      </c>
      <c r="AK19" s="25">
        <f>Inputs!$B$52</f>
        <v/>
      </c>
      <c r="AL19" s="25">
        <f>Inputs!$B$55</f>
        <v/>
      </c>
      <c r="AM19" s="25">
        <f>Inputs!$B$56</f>
        <v/>
      </c>
      <c r="AN19" s="25">
        <f>Inputs!$B$57</f>
        <v/>
      </c>
      <c r="AO19" s="25">
        <f>Inputs!$B$58</f>
        <v/>
      </c>
      <c r="AP19" s="25">
        <f>Inputs!$B$61</f>
        <v/>
      </c>
      <c r="AQ19" s="25">
        <f>Inputs!$B$62</f>
        <v/>
      </c>
      <c r="AR19" s="25">
        <f>1</f>
        <v/>
      </c>
      <c r="AS19" s="25" t="n">
        <v>1</v>
      </c>
      <c r="AT19" s="25" t="n">
        <v>2</v>
      </c>
      <c r="AU19" s="25" t="n">
        <v>3</v>
      </c>
      <c r="AV19" s="25" t="n">
        <v>4</v>
      </c>
      <c r="AW19" s="25" t="n">
        <v>5</v>
      </c>
      <c r="AX19" s="25">
        <f>MIN(5,MAX(1,ROUND($AL19,0)))</f>
        <v/>
      </c>
      <c r="AY19" s="25">
        <f>MAX(1,ROUND($W19,0))</f>
        <v/>
      </c>
      <c r="AZ19" s="25">
        <f>IF(1&lt;=$AX19,1,0)</f>
        <v/>
      </c>
      <c r="BA19" s="25">
        <f>IF(2&lt;=$AX19,1,0)</f>
        <v/>
      </c>
      <c r="BB19" s="25">
        <f>IF(3&lt;=$AX19,1,0)</f>
        <v/>
      </c>
      <c r="BC19" s="25">
        <f>IF(4&lt;=$AX19,1,0)</f>
        <v/>
      </c>
      <c r="BD19" s="25">
        <f>IF(5&lt;=$AX19,1,0)</f>
        <v/>
      </c>
      <c r="BE19" s="52">
        <f>(1+$AN19)^(1-1)</f>
        <v/>
      </c>
      <c r="BF19" s="52">
        <f>(1+$AN19)^(2-1)</f>
        <v/>
      </c>
      <c r="BG19" s="52">
        <f>(1+$AN19)^(3-1)</f>
        <v/>
      </c>
      <c r="BH19" s="52">
        <f>(1+$AN19)^(4-1)</f>
        <v/>
      </c>
      <c r="BI19" s="52">
        <f>(1+$AN19)^(5-1)</f>
        <v/>
      </c>
      <c r="BJ19" s="53">
        <f>1/(1+$AM19)^(1-1)</f>
        <v/>
      </c>
      <c r="BK19" s="53">
        <f>1/(1+$AM19)^(2-1)</f>
        <v/>
      </c>
      <c r="BL19" s="53">
        <f>1/(1+$AM19)^(3-1)</f>
        <v/>
      </c>
      <c r="BM19" s="53">
        <f>1/(1+$AM19)^(4-1)</f>
        <v/>
      </c>
      <c r="BN19" s="53">
        <f>1/(1+$AM19)^(5-1)</f>
        <v/>
      </c>
      <c r="BO19" s="53">
        <f>1/(1+$AM19)^1</f>
        <v/>
      </c>
      <c r="BP19" s="53">
        <f>1/(1+$AM19)^2</f>
        <v/>
      </c>
      <c r="BQ19" s="53">
        <f>1/(1+$AM19)^3</f>
        <v/>
      </c>
      <c r="BR19" s="53">
        <f>1/(1+$AM19)^4</f>
        <v/>
      </c>
      <c r="BS19" s="53">
        <f>1/(1+$AM19)^5</f>
        <v/>
      </c>
      <c r="BT19" s="43">
        <f>IF(AND($I19="Direct monthly estimate",$J19&gt;0),$J19,$D19*$K19*$L19)</f>
        <v/>
      </c>
      <c r="BU19" s="43">
        <f>$BT19*$B19*12*(1+$N19)^(1-1)</f>
        <v/>
      </c>
      <c r="BV19" s="43">
        <f>$BT19*$B19*12*(1+$N19)^(2-1)</f>
        <v/>
      </c>
      <c r="BW19" s="43">
        <f>$BT19*$B19*12*(1+$N19)^(3-1)</f>
        <v/>
      </c>
      <c r="BX19" s="43">
        <f>$BT19*$B19*12*(1+$N19)^(4-1)</f>
        <v/>
      </c>
      <c r="BY19" s="43">
        <f>$BT19*$B19*12*(1+$N19)^(5-1)</f>
        <v/>
      </c>
      <c r="BZ19" s="43">
        <f>$BU19/31536000*$M19</f>
        <v/>
      </c>
      <c r="CA19" s="43">
        <f>$BV19/31536000*$M19</f>
        <v/>
      </c>
      <c r="CB19" s="43">
        <f>$BW19/31536000*$M19</f>
        <v/>
      </c>
      <c r="CC19" s="43">
        <f>$BX19/31536000*$M19</f>
        <v/>
      </c>
      <c r="CD19" s="43">
        <f>$BY19/31536000*$M19</f>
        <v/>
      </c>
      <c r="CE19" s="43">
        <f>$BZ19*$AI19</f>
        <v/>
      </c>
      <c r="CF19" s="43">
        <f>$CA19*$AI19</f>
        <v/>
      </c>
      <c r="CG19" s="43">
        <f>$CB19*$AI19</f>
        <v/>
      </c>
      <c r="CH19" s="43">
        <f>$CC19*$AI19</f>
        <v/>
      </c>
      <c r="CI19" s="43">
        <f>$CD19*$AI19</f>
        <v/>
      </c>
      <c r="CJ19" s="44">
        <f>$O19*(1-$Q19)*(1-$P19)^(1-1)</f>
        <v/>
      </c>
      <c r="CK19" s="44">
        <f>$O19*(1-$Q19)*(1-$P19)^(2-1)</f>
        <v/>
      </c>
      <c r="CL19" s="44">
        <f>$O19*(1-$Q19)*(1-$P19)^(3-1)</f>
        <v/>
      </c>
      <c r="CM19" s="44">
        <f>$O19*(1-$Q19)*(1-$P19)^(4-1)</f>
        <v/>
      </c>
      <c r="CN19" s="44">
        <f>$O19*(1-$Q19)*(1-$P19)^(5-1)</f>
        <v/>
      </c>
      <c r="CO19" s="45">
        <f>$BU19/1000000*$CJ19</f>
        <v/>
      </c>
      <c r="CP19" s="45">
        <f>$BV19/1000000*$CK19</f>
        <v/>
      </c>
      <c r="CQ19" s="45">
        <f>$BW19/1000000*$CL19</f>
        <v/>
      </c>
      <c r="CR19" s="45">
        <f>$BX19/1000000*$CM19</f>
        <v/>
      </c>
      <c r="CS19" s="45">
        <f>$BY19/1000000*$CN19</f>
        <v/>
      </c>
      <c r="CT19" s="45">
        <f>($T19*$U19+$S19)*$BE19</f>
        <v/>
      </c>
      <c r="CU19" s="45">
        <f>($T19*$U19+$S19)*$BF19</f>
        <v/>
      </c>
      <c r="CV19" s="45">
        <f>($T19*$U19+$S19)*$BG19</f>
        <v/>
      </c>
      <c r="CW19" s="45">
        <f>($T19*$U19+$S19)*$BH19</f>
        <v/>
      </c>
      <c r="CX19" s="45">
        <f>($T19*$U19+$S19)*$BI19</f>
        <v/>
      </c>
      <c r="CY19" s="45">
        <f>IF(1=1,$R19,0)</f>
        <v/>
      </c>
      <c r="CZ19" s="45">
        <f>IF(2=1,$R19,0)</f>
        <v/>
      </c>
      <c r="DA19" s="45">
        <f>IF(3=1,$R19,0)</f>
        <v/>
      </c>
      <c r="DB19" s="45">
        <f>IF(4=1,$R19,0)</f>
        <v/>
      </c>
      <c r="DC19" s="45">
        <f>IF(5=1,$R19,0)</f>
        <v/>
      </c>
      <c r="DD19" s="45">
        <f>$CO19+$CT19+$CY19</f>
        <v/>
      </c>
      <c r="DE19" s="45">
        <f>$CP19+$CU19+$CZ19</f>
        <v/>
      </c>
      <c r="DF19" s="45">
        <f>$CQ19+$CV19+$DA19</f>
        <v/>
      </c>
      <c r="DG19" s="45">
        <f>$CR19+$CW19+$DB19</f>
        <v/>
      </c>
      <c r="DH19" s="45">
        <f>$CS19+$CX19+$DC19</f>
        <v/>
      </c>
      <c r="DI19" s="45">
        <f>$CY19</f>
        <v/>
      </c>
      <c r="DJ19" s="45">
        <f>$CZ19</f>
        <v/>
      </c>
      <c r="DK19" s="45">
        <f>$DA19</f>
        <v/>
      </c>
      <c r="DL19" s="45">
        <f>$DB19</f>
        <v/>
      </c>
      <c r="DM19" s="45">
        <f>$DC19</f>
        <v/>
      </c>
      <c r="DN19" s="45">
        <f>$CO19+$CT19</f>
        <v/>
      </c>
      <c r="DO19" s="45">
        <f>$CP19+$CU19</f>
        <v/>
      </c>
      <c r="DP19" s="45">
        <f>$CQ19+$CV19</f>
        <v/>
      </c>
      <c r="DQ19" s="45">
        <f>$CR19+$CW19</f>
        <v/>
      </c>
      <c r="DR19" s="45">
        <f>$CS19+$CX19</f>
        <v/>
      </c>
      <c r="DS19" s="45">
        <f>0</f>
        <v/>
      </c>
      <c r="DT19" s="45">
        <f>SUMPRODUCT($AZ19:$BD19,$DD19:$DH19)</f>
        <v/>
      </c>
      <c r="DU19" s="45">
        <f>SUM($DD19:$DF19)</f>
        <v/>
      </c>
      <c r="DV19" s="45">
        <f>SUM($DD19:$DH19)</f>
        <v/>
      </c>
      <c r="DW19" s="45">
        <f>SUMPRODUCT($AZ19:$BD19,$DI19:$DM19,$BJ19:$BN19)+SUMPRODUCT($AZ19:$BD19,$DN19:$DR19,$BO19:$BS19)-$DS19/(1+$AM19)^$AX19</f>
        <v/>
      </c>
      <c r="DX19" s="43">
        <f>IF($CE19&gt;0,ROUNDUP($CE19/$AP19,0),0)</f>
        <v/>
      </c>
      <c r="DY19" s="43">
        <f>IF($CF19&gt;0,ROUNDUP($CF19/$AP19,0),0)</f>
        <v/>
      </c>
      <c r="DZ19" s="43">
        <f>IF($CG19&gt;0,ROUNDUP($CG19/$AP19,0),0)</f>
        <v/>
      </c>
      <c r="EA19" s="43">
        <f>IF($CH19&gt;0,ROUNDUP($CH19/$AP19,0),0)</f>
        <v/>
      </c>
      <c r="EB19" s="43">
        <f>IF($CI19&gt;0,ROUNDUP($CI19/$AP19,0),0)</f>
        <v/>
      </c>
      <c r="EC19" s="43">
        <f>MAX($DX19,0)</f>
        <v/>
      </c>
      <c r="ED19" s="43">
        <f>MAX($DY19,$EC19)</f>
        <v/>
      </c>
      <c r="EE19" s="43">
        <f>MAX($DZ19,$ED19)</f>
        <v/>
      </c>
      <c r="EF19" s="43">
        <f>MAX($EA19,$EE19)</f>
        <v/>
      </c>
      <c r="EG19" s="43">
        <f>MAX($EB19,$EF19)</f>
        <v/>
      </c>
      <c r="EH19" s="43">
        <f>$EC19-0</f>
        <v/>
      </c>
      <c r="EI19" s="43">
        <f>$ED19-$EC19</f>
        <v/>
      </c>
      <c r="EJ19" s="43">
        <f>$EE19-$ED19</f>
        <v/>
      </c>
      <c r="EK19" s="43">
        <f>$EF19-$EE19</f>
        <v/>
      </c>
      <c r="EL19" s="43">
        <f>$EG19-$EF19</f>
        <v/>
      </c>
      <c r="EM19" s="43">
        <f>0</f>
        <v/>
      </c>
      <c r="EN19" s="43">
        <f>(1+$AY19=2)*$ER19</f>
        <v/>
      </c>
      <c r="EO19" s="43">
        <f>(1+$AY19=3)*$ER19+(2+$AY19=3)*$ES19</f>
        <v/>
      </c>
      <c r="EP19" s="43">
        <f>(1+$AY19=4)*$ER19+(2+$AY19=4)*$ES19+(3+$AY19=4)*$ET19</f>
        <v/>
      </c>
      <c r="EQ19" s="43">
        <f>(1+$AY19=5)*$ER19+(2+$AY19=5)*$ES19+(3+$AY19=5)*$ET19+(4+$AY19=5)*$EU19</f>
        <v/>
      </c>
      <c r="ER19" s="43">
        <f>$EH19+$EM19</f>
        <v/>
      </c>
      <c r="ES19" s="43">
        <f>$EI19+$EN19</f>
        <v/>
      </c>
      <c r="ET19" s="43">
        <f>$EJ19+$EO19</f>
        <v/>
      </c>
      <c r="EU19" s="43">
        <f>$EK19+$EP19</f>
        <v/>
      </c>
      <c r="EV19" s="43">
        <f>$EL19+$EQ19</f>
        <v/>
      </c>
      <c r="EW19" s="45">
        <f>$ER19*$V19</f>
        <v/>
      </c>
      <c r="EX19" s="45">
        <f>$ES19*$V19</f>
        <v/>
      </c>
      <c r="EY19" s="45">
        <f>$ET19*$V19</f>
        <v/>
      </c>
      <c r="EZ19" s="45">
        <f>$EU19*$V19</f>
        <v/>
      </c>
      <c r="FA19" s="45">
        <f>$EV19*$V19</f>
        <v/>
      </c>
      <c r="FB19" s="45">
        <f>$EM19*$V19*$X19</f>
        <v/>
      </c>
      <c r="FC19" s="45">
        <f>$EN19*$V19*$X19</f>
        <v/>
      </c>
      <c r="FD19" s="45">
        <f>$EO19*$V19*$X19</f>
        <v/>
      </c>
      <c r="FE19" s="45">
        <f>$EP19*$V19*$X19</f>
        <v/>
      </c>
      <c r="FF19" s="45">
        <f>$EQ19*$V19*$X19</f>
        <v/>
      </c>
      <c r="FG19" s="45">
        <f>$EC19*$V19*(1-$X19)/$AY19</f>
        <v/>
      </c>
      <c r="FH19" s="45">
        <f>$ED19*$V19*(1-$X19)/$AY19</f>
        <v/>
      </c>
      <c r="FI19" s="45">
        <f>$EE19*$V19*(1-$X19)/$AY19</f>
        <v/>
      </c>
      <c r="FJ19" s="45">
        <f>$EF19*$V19*(1-$X19)/$AY19</f>
        <v/>
      </c>
      <c r="FK19" s="45">
        <f>$EG19*$V19*(1-$X19)/$AY19</f>
        <v/>
      </c>
      <c r="FL19" s="45">
        <f>$EC19*$Y19*$Z19*$AA19*8760*$BE19</f>
        <v/>
      </c>
      <c r="FM19" s="45">
        <f>$ED19*$Y19*$Z19*$AA19*8760*$BF19</f>
        <v/>
      </c>
      <c r="FN19" s="45">
        <f>$EE19*$Y19*$Z19*$AA19*8760*$BG19</f>
        <v/>
      </c>
      <c r="FO19" s="45">
        <f>$EF19*$Y19*$Z19*$AA19*8760*$BH19</f>
        <v/>
      </c>
      <c r="FP19" s="45">
        <f>$EG19*$Y19*$Z19*$AA19*8760*$BI19</f>
        <v/>
      </c>
      <c r="FQ19" s="45">
        <f>IF($AC19&gt;0,$AC19,$EC19*$Y19*$AB19*12)*$BE19</f>
        <v/>
      </c>
      <c r="FR19" s="45">
        <f>IF($AC19&gt;0,$AC19,$ED19*$Y19*$AB19*12)*$BF19</f>
        <v/>
      </c>
      <c r="FS19" s="45">
        <f>IF($AC19&gt;0,$AC19,$EE19*$Y19*$AB19*12)*$BG19</f>
        <v/>
      </c>
      <c r="FT19" s="45">
        <f>IF($AC19&gt;0,$AC19,$EF19*$Y19*$AB19*12)*$BH19</f>
        <v/>
      </c>
      <c r="FU19" s="45">
        <f>IF($AC19&gt;0,$AC19,$EG19*$Y19*$AB19*12)*$BI19</f>
        <v/>
      </c>
      <c r="FV19" s="45">
        <f>$EC19*$V19*$AD19*$BE19</f>
        <v/>
      </c>
      <c r="FW19" s="45">
        <f>$ED19*$V19*$AD19*$BF19</f>
        <v/>
      </c>
      <c r="FX19" s="45">
        <f>$EE19*$V19*$AD19*$BG19</f>
        <v/>
      </c>
      <c r="FY19" s="45">
        <f>$EF19*$V19*$AD19*$BH19</f>
        <v/>
      </c>
      <c r="FZ19" s="45">
        <f>$EG19*$V19*$AD19*$BI19</f>
        <v/>
      </c>
      <c r="GA19" s="45">
        <f>$AE19*$BE19</f>
        <v/>
      </c>
      <c r="GB19" s="45">
        <f>$AE19*$BF19</f>
        <v/>
      </c>
      <c r="GC19" s="45">
        <f>$AE19*$BG19</f>
        <v/>
      </c>
      <c r="GD19" s="45">
        <f>$AE19*$BH19</f>
        <v/>
      </c>
      <c r="GE19" s="45">
        <f>$AE19*$BI19</f>
        <v/>
      </c>
      <c r="GF19" s="45">
        <f>$AF19*$AG19*$BE19</f>
        <v/>
      </c>
      <c r="GG19" s="45">
        <f>$AF19*$AG19*$BF19</f>
        <v/>
      </c>
      <c r="GH19" s="45">
        <f>$AF19*$AG19*$BG19</f>
        <v/>
      </c>
      <c r="GI19" s="45">
        <f>$AF19*$AG19*$BH19</f>
        <v/>
      </c>
      <c r="GJ19" s="45">
        <f>$AF19*$AG19*$BI19</f>
        <v/>
      </c>
      <c r="GK19" s="45">
        <f>IF(1=1,$AH19,0)</f>
        <v/>
      </c>
      <c r="GL19" s="45">
        <f>IF(2=1,$AH19,0)</f>
        <v/>
      </c>
      <c r="GM19" s="45">
        <f>IF(3=1,$AH19,0)</f>
        <v/>
      </c>
      <c r="GN19" s="45">
        <f>IF(4=1,$AH19,0)</f>
        <v/>
      </c>
      <c r="GO19" s="45">
        <f>IF(5=1,$AH19,0)</f>
        <v/>
      </c>
      <c r="GP19" s="45">
        <f>$FG19+$FL19+$FQ19+$FV19+$GA19+$GF19+$GK19</f>
        <v/>
      </c>
      <c r="GQ19" s="45">
        <f>$FH19+$FM19+$FR19+$FW19+$GB19+$GG19+$GL19</f>
        <v/>
      </c>
      <c r="GR19" s="45">
        <f>$FI19+$FN19+$FS19+$FX19+$GC19+$GH19+$GM19</f>
        <v/>
      </c>
      <c r="GS19" s="45">
        <f>$FJ19+$FO19+$FT19+$FY19+$GD19+$GI19+$GN19</f>
        <v/>
      </c>
      <c r="GT19" s="45">
        <f>$FK19+$FP19+$FU19+$FZ19+$GE19+$GJ19+$GO19</f>
        <v/>
      </c>
      <c r="GU19" s="45">
        <f>$EW19-$FB19+$GK19</f>
        <v/>
      </c>
      <c r="GV19" s="45">
        <f>$EX19-$FC19+$GL19</f>
        <v/>
      </c>
      <c r="GW19" s="45">
        <f>$EY19-$FD19+$GM19</f>
        <v/>
      </c>
      <c r="GX19" s="45">
        <f>$EZ19-$FE19+$GN19</f>
        <v/>
      </c>
      <c r="GY19" s="45">
        <f>$FA19-$FF19+$GO19</f>
        <v/>
      </c>
      <c r="GZ19" s="45">
        <f>$FL19+$FQ19+$FV19+$GA19+$GF19</f>
        <v/>
      </c>
      <c r="HA19" s="45">
        <f>$FM19+$FR19+$FW19+$GB19+$GG19</f>
        <v/>
      </c>
      <c r="HB19" s="45">
        <f>$FN19+$FS19+$FX19+$GC19+$GH19</f>
        <v/>
      </c>
      <c r="HC19" s="45">
        <f>$FO19+$FT19+$FY19+$GD19+$GI19</f>
        <v/>
      </c>
      <c r="HD19" s="45">
        <f>$FP19+$FU19+$FZ19+$GE19+$GJ19</f>
        <v/>
      </c>
      <c r="HE19" s="45">
        <f>((1&lt;=$AX19)*(1&gt;$AX19-$AY19))*$ER19*$V19*MAX(0,1-(1-$X19)*($AX19-1+1)/$AY19)+((2&lt;=$AX19)*(2&gt;$AX19-$AY19))*$ES19*$V19*MAX(0,1-(1-$X19)*($AX19-2+1)/$AY19)+((3&lt;=$AX19)*(3&gt;$AX19-$AY19))*$ET19*$V19*MAX(0,1-(1-$X19)*($AX19-3+1)/$AY19)+((4&lt;=$AX19)*(4&gt;$AX19-$AY19))*$EU19*$V19*MAX(0,1-(1-$X19)*($AX19-4+1)/$AY19)+((5&lt;=$AX19)*(5&gt;$AX19-$AY19))*$EV19*$V19*MAX(0,1-(1-$X19)*($AX19-5+1)/$AY19)</f>
        <v/>
      </c>
      <c r="HF19" s="45">
        <f>SUMPRODUCT($AZ19:$BD19,$GP19:$GT19)</f>
        <v/>
      </c>
      <c r="HG19" s="45">
        <f>SUM($GP19:$GR19)</f>
        <v/>
      </c>
      <c r="HH19" s="45">
        <f>SUM($GP19:$GT19)</f>
        <v/>
      </c>
      <c r="HI19" s="45">
        <f>SUMPRODUCT($AZ19:$BD19,$GU19:$GY19,$BJ19:$BN19)+SUMPRODUCT($AZ19:$BD19,$GZ19:$HD19,$BO19:$BS19)-$HE19/(1+$AM19)^$AX19</f>
        <v/>
      </c>
      <c r="HJ19" s="46">
        <f>MIN(1,MAX(0,IF(ISNUMBER($AJ19),$AJ19,IF($F19+$G19+$H19&gt;0,($G19+$H19)/($F19+$G19+$H19),0))*$AR19))</f>
        <v/>
      </c>
      <c r="HK19" s="25">
        <f>IF($HJ19&gt;0,1,0)</f>
        <v/>
      </c>
      <c r="HL19" s="25">
        <f>IF($HJ19&lt;1,1,0)</f>
        <v/>
      </c>
      <c r="HM19" s="43">
        <f>IF($CE19*$HJ19&gt;0,ROUNDUP($CE19*$HJ19/$AP19,0),0)</f>
        <v/>
      </c>
      <c r="HN19" s="43">
        <f>IF($CF19*$HJ19&gt;0,ROUNDUP($CF19*$HJ19/$AP19,0),0)</f>
        <v/>
      </c>
      <c r="HO19" s="43">
        <f>IF($CG19*$HJ19&gt;0,ROUNDUP($CG19*$HJ19/$AP19,0),0)</f>
        <v/>
      </c>
      <c r="HP19" s="43">
        <f>IF($CH19*$HJ19&gt;0,ROUNDUP($CH19*$HJ19/$AP19,0),0)</f>
        <v/>
      </c>
      <c r="HQ19" s="43">
        <f>IF($CI19*$HJ19&gt;0,ROUNDUP($CI19*$HJ19/$AP19,0),0)</f>
        <v/>
      </c>
      <c r="HR19" s="43">
        <f>MAX($HM19,0)</f>
        <v/>
      </c>
      <c r="HS19" s="43">
        <f>MAX($HN19,$HR19)</f>
        <v/>
      </c>
      <c r="HT19" s="43">
        <f>MAX($HO19,$HS19)</f>
        <v/>
      </c>
      <c r="HU19" s="43">
        <f>MAX($HP19,$HT19)</f>
        <v/>
      </c>
      <c r="HV19" s="43">
        <f>MAX($HQ19,$HU19)</f>
        <v/>
      </c>
      <c r="HW19" s="43">
        <f>$HR19-0</f>
        <v/>
      </c>
      <c r="HX19" s="43">
        <f>$HS19-$HR19</f>
        <v/>
      </c>
      <c r="HY19" s="43">
        <f>$HT19-$HS19</f>
        <v/>
      </c>
      <c r="HZ19" s="43">
        <f>$HU19-$HT19</f>
        <v/>
      </c>
      <c r="IA19" s="43">
        <f>$HV19-$HU19</f>
        <v/>
      </c>
      <c r="IB19" s="43">
        <f>0</f>
        <v/>
      </c>
      <c r="IC19" s="43">
        <f>(1+$AY19=2)*$IG19</f>
        <v/>
      </c>
      <c r="ID19" s="43">
        <f>(1+$AY19=3)*$IG19+(2+$AY19=3)*$IH19</f>
        <v/>
      </c>
      <c r="IE19" s="43">
        <f>(1+$AY19=4)*$IG19+(2+$AY19=4)*$IH19+(3+$AY19=4)*$II19</f>
        <v/>
      </c>
      <c r="IF19" s="43">
        <f>(1+$AY19=5)*$IG19+(2+$AY19=5)*$IH19+(3+$AY19=5)*$II19+(4+$AY19=5)*$IJ19</f>
        <v/>
      </c>
      <c r="IG19" s="43">
        <f>$HW19+$IB19</f>
        <v/>
      </c>
      <c r="IH19" s="43">
        <f>$HX19+$IC19</f>
        <v/>
      </c>
      <c r="II19" s="43">
        <f>$HY19+$ID19</f>
        <v/>
      </c>
      <c r="IJ19" s="43">
        <f>$HZ19+$IE19</f>
        <v/>
      </c>
      <c r="IK19" s="43">
        <f>$IA19+$IF19</f>
        <v/>
      </c>
      <c r="IL19" s="45">
        <f>$IG19*$V19</f>
        <v/>
      </c>
      <c r="IM19" s="45">
        <f>$IH19*$V19</f>
        <v/>
      </c>
      <c r="IN19" s="45">
        <f>$II19*$V19</f>
        <v/>
      </c>
      <c r="IO19" s="45">
        <f>$IJ19*$V19</f>
        <v/>
      </c>
      <c r="IP19" s="45">
        <f>$IK19*$V19</f>
        <v/>
      </c>
      <c r="IQ19" s="45">
        <f>$IB19*$V19*$X19</f>
        <v/>
      </c>
      <c r="IR19" s="45">
        <f>$IC19*$V19*$X19</f>
        <v/>
      </c>
      <c r="IS19" s="45">
        <f>$ID19*$V19*$X19</f>
        <v/>
      </c>
      <c r="IT19" s="45">
        <f>$IE19*$V19*$X19</f>
        <v/>
      </c>
      <c r="IU19" s="45">
        <f>$IF19*$V19*$X19</f>
        <v/>
      </c>
      <c r="IV19" s="45">
        <f>$HR19*$V19*(1-$X19)/$AY19</f>
        <v/>
      </c>
      <c r="IW19" s="45">
        <f>$HS19*$V19*(1-$X19)/$AY19</f>
        <v/>
      </c>
      <c r="IX19" s="45">
        <f>$HT19*$V19*(1-$X19)/$AY19</f>
        <v/>
      </c>
      <c r="IY19" s="45">
        <f>$HU19*$V19*(1-$X19)/$AY19</f>
        <v/>
      </c>
      <c r="IZ19" s="45">
        <f>$HV19*$V19*(1-$X19)/$AY19</f>
        <v/>
      </c>
      <c r="JA19" s="45">
        <f>$HR19*$Y19*$Z19*$AA19*8760*$BE19</f>
        <v/>
      </c>
      <c r="JB19" s="45">
        <f>$HS19*$Y19*$Z19*$AA19*8760*$BF19</f>
        <v/>
      </c>
      <c r="JC19" s="45">
        <f>$HT19*$Y19*$Z19*$AA19*8760*$BG19</f>
        <v/>
      </c>
      <c r="JD19" s="45">
        <f>$HU19*$Y19*$Z19*$AA19*8760*$BH19</f>
        <v/>
      </c>
      <c r="JE19" s="45">
        <f>$HV19*$Y19*$Z19*$AA19*8760*$BI19</f>
        <v/>
      </c>
      <c r="JF19" s="45">
        <f>IF($AC19&gt;0,$AC19*$HK19,$HR19*$Y19*$AB19*12)*$BE19</f>
        <v/>
      </c>
      <c r="JG19" s="45">
        <f>IF($AC19&gt;0,$AC19*$HK19,$HS19*$Y19*$AB19*12)*$BF19</f>
        <v/>
      </c>
      <c r="JH19" s="45">
        <f>IF($AC19&gt;0,$AC19*$HK19,$HT19*$Y19*$AB19*12)*$BG19</f>
        <v/>
      </c>
      <c r="JI19" s="45">
        <f>IF($AC19&gt;0,$AC19*$HK19,$HU19*$Y19*$AB19*12)*$BH19</f>
        <v/>
      </c>
      <c r="JJ19" s="45">
        <f>IF($AC19&gt;0,$AC19*$HK19,$HV19*$Y19*$AB19*12)*$BI19</f>
        <v/>
      </c>
      <c r="JK19" s="45">
        <f>$HR19*$V19*$AD19*$BE19</f>
        <v/>
      </c>
      <c r="JL19" s="45">
        <f>$HS19*$V19*$AD19*$BF19</f>
        <v/>
      </c>
      <c r="JM19" s="45">
        <f>$HT19*$V19*$AD19*$BG19</f>
        <v/>
      </c>
      <c r="JN19" s="45">
        <f>$HU19*$V19*$AD19*$BH19</f>
        <v/>
      </c>
      <c r="JO19" s="45">
        <f>$HV19*$V19*$AD19*$BI19</f>
        <v/>
      </c>
      <c r="JP19" s="45">
        <f>$AE19*$BE19*$HK19</f>
        <v/>
      </c>
      <c r="JQ19" s="45">
        <f>$AE19*$BF19*$HK19</f>
        <v/>
      </c>
      <c r="JR19" s="45">
        <f>$AE19*$BG19*$HK19</f>
        <v/>
      </c>
      <c r="JS19" s="45">
        <f>$AE19*$BH19*$HK19</f>
        <v/>
      </c>
      <c r="JT19" s="45">
        <f>$AE19*$BI19*$HK19</f>
        <v/>
      </c>
      <c r="JU19" s="45">
        <f>$AQ19*$AG19*$BE19*$HK19</f>
        <v/>
      </c>
      <c r="JV19" s="45">
        <f>$AQ19*$AG19*$BF19*$HK19</f>
        <v/>
      </c>
      <c r="JW19" s="45">
        <f>$AQ19*$AG19*$BG19*$HK19</f>
        <v/>
      </c>
      <c r="JX19" s="45">
        <f>$AQ19*$AG19*$BH19*$HK19</f>
        <v/>
      </c>
      <c r="JY19" s="45">
        <f>$AQ19*$AG19*$BI19*$HK19</f>
        <v/>
      </c>
      <c r="JZ19" s="45">
        <f>$BU19*(1-$HJ19)/1000000*$CJ19</f>
        <v/>
      </c>
      <c r="KA19" s="45">
        <f>$BV19*(1-$HJ19)/1000000*$CK19</f>
        <v/>
      </c>
      <c r="KB19" s="45">
        <f>$BW19*(1-$HJ19)/1000000*$CL19</f>
        <v/>
      </c>
      <c r="KC19" s="45">
        <f>$BX19*(1-$HJ19)/1000000*$CM19</f>
        <v/>
      </c>
      <c r="KD19" s="45">
        <f>$BY19*(1-$HJ19)/1000000*$CN19</f>
        <v/>
      </c>
      <c r="KE19" s="45">
        <f>$CT19*$HL19</f>
        <v/>
      </c>
      <c r="KF19" s="45">
        <f>$CU19*$HL19</f>
        <v/>
      </c>
      <c r="KG19" s="45">
        <f>$CV19*$HL19</f>
        <v/>
      </c>
      <c r="KH19" s="45">
        <f>$CW19*$HL19</f>
        <v/>
      </c>
      <c r="KI19" s="45">
        <f>$CX19*$HL19</f>
        <v/>
      </c>
      <c r="KJ19" s="45">
        <f>IF(1=1,$R19*$HL19+$AH19*$HK19+$AK19,0)</f>
        <v/>
      </c>
      <c r="KK19" s="45">
        <f>IF(2=1,$R19*$HL19+$AH19*$HK19+$AK19,0)</f>
        <v/>
      </c>
      <c r="KL19" s="45">
        <f>IF(3=1,$R19*$HL19+$AH19*$HK19+$AK19,0)</f>
        <v/>
      </c>
      <c r="KM19" s="45">
        <f>IF(4=1,$R19*$HL19+$AH19*$HK19+$AK19,0)</f>
        <v/>
      </c>
      <c r="KN19" s="45">
        <f>IF(5=1,$R19*$HL19+$AH19*$HK19+$AK19,0)</f>
        <v/>
      </c>
      <c r="KO19" s="45">
        <f>$IV19+$JA19+$JF19+$JK19+$JP19+$JU19+$JZ19+$KE19+$KJ19</f>
        <v/>
      </c>
      <c r="KP19" s="45">
        <f>$IW19+$JB19+$JG19+$JL19+$JQ19+$JV19+$KA19+$KF19+$KK19</f>
        <v/>
      </c>
      <c r="KQ19" s="45">
        <f>$IX19+$JC19+$JH19+$JM19+$JR19+$JW19+$KB19+$KG19+$KL19</f>
        <v/>
      </c>
      <c r="KR19" s="45">
        <f>$IY19+$JD19+$JI19+$JN19+$JS19+$JX19+$KC19+$KH19+$KM19</f>
        <v/>
      </c>
      <c r="KS19" s="45">
        <f>$IZ19+$JE19+$JJ19+$JO19+$JT19+$JY19+$KD19+$KI19+$KN19</f>
        <v/>
      </c>
      <c r="KT19" s="45">
        <f>$IL19-$IQ19+$KJ19</f>
        <v/>
      </c>
      <c r="KU19" s="45">
        <f>$IM19-$IR19+$KK19</f>
        <v/>
      </c>
      <c r="KV19" s="45">
        <f>$IN19-$IS19+$KL19</f>
        <v/>
      </c>
      <c r="KW19" s="45">
        <f>$IO19-$IT19+$KM19</f>
        <v/>
      </c>
      <c r="KX19" s="45">
        <f>$IP19-$IU19+$KN19</f>
        <v/>
      </c>
      <c r="KY19" s="45">
        <f>$JA19+$JF19+$JK19+$JP19+$JU19+$JZ19+$KE19</f>
        <v/>
      </c>
      <c r="KZ19" s="45">
        <f>$JB19+$JG19+$JL19+$JQ19+$JV19+$KA19+$KF19</f>
        <v/>
      </c>
      <c r="LA19" s="45">
        <f>$JC19+$JH19+$JM19+$JR19+$JW19+$KB19+$KG19</f>
        <v/>
      </c>
      <c r="LB19" s="45">
        <f>$JD19+$JI19+$JN19+$JS19+$JX19+$KC19+$KH19</f>
        <v/>
      </c>
      <c r="LC19" s="45">
        <f>$JE19+$JJ19+$JO19+$JT19+$JY19+$KD19+$KI19</f>
        <v/>
      </c>
      <c r="LD19" s="45">
        <f>((1&lt;=$AX19)*(1&gt;$AX19-$AY19))*$IG19*$V19*MAX(0,1-(1-$X19)*($AX19-1+1)/$AY19)+((2&lt;=$AX19)*(2&gt;$AX19-$AY19))*$IH19*$V19*MAX(0,1-(1-$X19)*($AX19-2+1)/$AY19)+((3&lt;=$AX19)*(3&gt;$AX19-$AY19))*$II19*$V19*MAX(0,1-(1-$X19)*($AX19-3+1)/$AY19)+((4&lt;=$AX19)*(4&gt;$AX19-$AY19))*$IJ19*$V19*MAX(0,1-(1-$X19)*($AX19-4+1)/$AY19)+((5&lt;=$AX19)*(5&gt;$AX19-$AY19))*$IK19*$V19*MAX(0,1-(1-$X19)*($AX19-5+1)/$AY19)</f>
        <v/>
      </c>
      <c r="LE19" s="45">
        <f>SUMPRODUCT($AZ19:$BD19,$KO19:$KS19)</f>
        <v/>
      </c>
      <c r="LF19" s="45">
        <f>SUM($KO19:$KQ19)</f>
        <v/>
      </c>
      <c r="LG19" s="45">
        <f>SUM($KO19:$KS19)</f>
        <v/>
      </c>
      <c r="LH19" s="45">
        <f>SUMPRODUCT($AZ19:$BD19,$KT19:$KX19,$BJ19:$BN19)+SUMPRODUCT($AZ19:$BD19,$KY19:$LC19,$BO19:$BS19)-$LD19/(1+$AM19)^$AX19</f>
        <v/>
      </c>
      <c r="LI19" s="43">
        <f>$BU19/1000000</f>
        <v/>
      </c>
      <c r="LJ19" s="44">
        <f>IF($LI19&gt;0,$DD19/$LI19,0)</f>
        <v/>
      </c>
      <c r="LK19" s="44">
        <f>IF($LI19&gt;0,$GP19/$LI19,0)</f>
        <v/>
      </c>
      <c r="LL19" s="44">
        <f>IF($LI19&gt;0,$KO19/$LI19,0)</f>
        <v/>
      </c>
      <c r="LM19" s="43">
        <f>$AP19*31536000/1000000</f>
        <v/>
      </c>
      <c r="LN19" s="43">
        <f>$EC19*$LM19</f>
        <v/>
      </c>
      <c r="LO19" s="45">
        <f>$FG19+$FL19+$FQ19+$FV19+$GA19+$GF19</f>
        <v/>
      </c>
      <c r="LP19" s="46">
        <f>IF($LN19*$CJ19&gt;0,MAX(0,($LO19-$CT19)/($LN19*$CJ19)),0)</f>
        <v/>
      </c>
      <c r="LQ19" s="46">
        <f>IF($LN19&gt;0,$LI19/$LN19,0)</f>
        <v/>
      </c>
      <c r="LR19" s="46">
        <f>1/($M19*$AI19)</f>
        <v/>
      </c>
      <c r="LS19" s="43">
        <f>$HR19*$LM19</f>
        <v/>
      </c>
      <c r="LT19" s="45">
        <f>$IV19+$JA19+$JF19+$JK19+$JP19+$JU19</f>
        <v/>
      </c>
      <c r="LU19" s="46">
        <f>IF($LS19*$CJ19&gt;0,$LT19/($LS19*$CJ19),0)</f>
        <v/>
      </c>
      <c r="LV19" s="46">
        <f>IF($LS19&gt;0,$LI19*$HJ19/$LS19,0)</f>
        <v/>
      </c>
      <c r="LW19" s="45">
        <f>$V19*(1-$X19)/$AY19+$Y19*$Z19*$AA19*8760+IF($AC19&gt;0,0,$Y19*$AB19*12)+$V19*$AD19</f>
        <v/>
      </c>
      <c r="LX19" s="46">
        <f>IF($LM19*$CJ19&gt;0,$LW19/($LM19*$CJ19),0)</f>
        <v/>
      </c>
      <c r="LY19" s="44">
        <f>IF($LM19*$LR19&gt;0,$LW19/($LM19*$LR19),0)</f>
        <v/>
      </c>
      <c r="LZ19" s="45">
        <f>$AE19+$AF19*$AG19+IF($AC19&gt;0,$AC19,0)-$CT19</f>
        <v/>
      </c>
      <c r="MA19" s="43">
        <f>IF($CJ19&gt;$LY19,MAX(0,$LZ19)/($CJ19-$LY19)*1000000,"Not reachable")</f>
        <v/>
      </c>
      <c r="MB19" s="47">
        <f>IF(AND(ISNUMBER($MA19),$BU19&gt;0),$MA19/$BU19,"n/a")</f>
        <v/>
      </c>
      <c r="MC19" s="47">
        <f>$B19*MAX(0,$D19-1)*$E19</f>
        <v/>
      </c>
      <c r="MD19" s="45">
        <f>$MC19*$C19</f>
        <v/>
      </c>
      <c r="ME19" s="45">
        <f>$MD19*SUMPRODUCT($AZ19:$BD19,$BO19:$BS19)</f>
        <v/>
      </c>
      <c r="MF19" s="45">
        <f>IF($AO19="Yes",$ME19-$DW19,0)</f>
        <v/>
      </c>
      <c r="MG19" s="45">
        <f>IF($AO19="Yes",$ME19-$HI19,0)</f>
        <v/>
      </c>
      <c r="MH19" s="45">
        <f>IF($AO19="Yes",$ME19-$LH19,0)</f>
        <v/>
      </c>
      <c r="MI19" s="45">
        <f>IF($AO19="Yes",$MD19-$DD19,0)</f>
        <v/>
      </c>
      <c r="MJ19" s="25">
        <f>IF(AND($DW19&lt;=$HI19,$DW19&lt;=$LH19),"Rent the Frontier",IF($HI19&lt;=$LH19,"Own the Frontier","Hybrid"))</f>
        <v/>
      </c>
      <c r="MK19" s="25">
        <f>IF(AND($DT19&lt;=$HF19,$DT19&lt;=$LE19),"Rent the Frontier",IF($HF19&lt;=$LE19,"Own the Frontier","Hybrid"))</f>
        <v/>
      </c>
    </row>
    <row r="20">
      <c r="A20" s="25">
        <f>Sensitivity!A23&amp;" ("&amp;Sensitivity!C23&amp;")"</f>
        <v/>
      </c>
      <c r="B20" s="25">
        <f>Inputs!$B$5</f>
        <v/>
      </c>
      <c r="C20" s="25">
        <f>Inputs!$B$6</f>
        <v/>
      </c>
      <c r="D20" s="25">
        <f>Inputs!$B$7</f>
        <v/>
      </c>
      <c r="E20" s="25">
        <f>Inputs!$B$8</f>
        <v/>
      </c>
      <c r="F20" s="25">
        <f>Inputs!$B$12</f>
        <v/>
      </c>
      <c r="G20" s="25">
        <f>Inputs!$B$13</f>
        <v/>
      </c>
      <c r="H20" s="25">
        <f>Inputs!$B$14</f>
        <v/>
      </c>
      <c r="I20" s="25">
        <f>Inputs!$B$18</f>
        <v/>
      </c>
      <c r="J20" s="25">
        <f>Inputs!$B$19</f>
        <v/>
      </c>
      <c r="K20" s="25">
        <f>Inputs!$B$20</f>
        <v/>
      </c>
      <c r="L20" s="25">
        <f>Inputs!$B$21</f>
        <v/>
      </c>
      <c r="M20" s="25">
        <f>Inputs!$B$22</f>
        <v/>
      </c>
      <c r="N20" s="25">
        <f>Inputs!$B$23</f>
        <v/>
      </c>
      <c r="O20" s="25">
        <f>Inputs!$B$26</f>
        <v/>
      </c>
      <c r="P20" s="25">
        <f>Inputs!$B$27</f>
        <v/>
      </c>
      <c r="Q20" s="25">
        <f>Inputs!$B$28</f>
        <v/>
      </c>
      <c r="R20" s="25">
        <f>Inputs!$B$29</f>
        <v/>
      </c>
      <c r="S20" s="25">
        <f>Inputs!$B$30</f>
        <v/>
      </c>
      <c r="T20" s="25">
        <f>Inputs!$B$31</f>
        <v/>
      </c>
      <c r="U20" s="25">
        <f>Inputs!$B$32</f>
        <v/>
      </c>
      <c r="V20" s="25">
        <f>Inputs!$B$35</f>
        <v/>
      </c>
      <c r="W20" s="25">
        <f>Inputs!$B$36</f>
        <v/>
      </c>
      <c r="X20" s="25">
        <f>Inputs!$B$37</f>
        <v/>
      </c>
      <c r="Y20" s="25">
        <f>Inputs!$B$38</f>
        <v/>
      </c>
      <c r="Z20" s="25">
        <f>Inputs!$B$39</f>
        <v/>
      </c>
      <c r="AA20" s="25">
        <f>Inputs!$B$40</f>
        <v/>
      </c>
      <c r="AB20" s="25">
        <f>Inputs!$B$41</f>
        <v/>
      </c>
      <c r="AC20" s="25">
        <f>Inputs!$B$42</f>
        <v/>
      </c>
      <c r="AD20" s="25">
        <f>Inputs!$B$43</f>
        <v/>
      </c>
      <c r="AE20" s="25">
        <f>Inputs!$B$44</f>
        <v/>
      </c>
      <c r="AF20" s="25">
        <f>Inputs!$B$45</f>
        <v/>
      </c>
      <c r="AG20" s="25">
        <f>Inputs!$B$46</f>
        <v/>
      </c>
      <c r="AH20" s="25">
        <f>Inputs!$B$47</f>
        <v/>
      </c>
      <c r="AI20" s="25">
        <f>MAX(1,Inputs!$B$48*Sensitivity!$D$23)</f>
        <v/>
      </c>
      <c r="AJ20" s="25">
        <f>IF(ISNUMBER(Inputs!$B$51),Inputs!$B$51,"")</f>
        <v/>
      </c>
      <c r="AK20" s="25">
        <f>Inputs!$B$52</f>
        <v/>
      </c>
      <c r="AL20" s="25">
        <f>Inputs!$B$55</f>
        <v/>
      </c>
      <c r="AM20" s="25">
        <f>Inputs!$B$56</f>
        <v/>
      </c>
      <c r="AN20" s="25">
        <f>Inputs!$B$57</f>
        <v/>
      </c>
      <c r="AO20" s="25">
        <f>Inputs!$B$58</f>
        <v/>
      </c>
      <c r="AP20" s="25">
        <f>Inputs!$B$61</f>
        <v/>
      </c>
      <c r="AQ20" s="25">
        <f>Inputs!$B$62</f>
        <v/>
      </c>
      <c r="AR20" s="25">
        <f>1</f>
        <v/>
      </c>
      <c r="AS20" s="25" t="n">
        <v>1</v>
      </c>
      <c r="AT20" s="25" t="n">
        <v>2</v>
      </c>
      <c r="AU20" s="25" t="n">
        <v>3</v>
      </c>
      <c r="AV20" s="25" t="n">
        <v>4</v>
      </c>
      <c r="AW20" s="25" t="n">
        <v>5</v>
      </c>
      <c r="AX20" s="25">
        <f>MIN(5,MAX(1,ROUND($AL20,0)))</f>
        <v/>
      </c>
      <c r="AY20" s="25">
        <f>MAX(1,ROUND($W20,0))</f>
        <v/>
      </c>
      <c r="AZ20" s="25">
        <f>IF(1&lt;=$AX20,1,0)</f>
        <v/>
      </c>
      <c r="BA20" s="25">
        <f>IF(2&lt;=$AX20,1,0)</f>
        <v/>
      </c>
      <c r="BB20" s="25">
        <f>IF(3&lt;=$AX20,1,0)</f>
        <v/>
      </c>
      <c r="BC20" s="25">
        <f>IF(4&lt;=$AX20,1,0)</f>
        <v/>
      </c>
      <c r="BD20" s="25">
        <f>IF(5&lt;=$AX20,1,0)</f>
        <v/>
      </c>
      <c r="BE20" s="52">
        <f>(1+$AN20)^(1-1)</f>
        <v/>
      </c>
      <c r="BF20" s="52">
        <f>(1+$AN20)^(2-1)</f>
        <v/>
      </c>
      <c r="BG20" s="52">
        <f>(1+$AN20)^(3-1)</f>
        <v/>
      </c>
      <c r="BH20" s="52">
        <f>(1+$AN20)^(4-1)</f>
        <v/>
      </c>
      <c r="BI20" s="52">
        <f>(1+$AN20)^(5-1)</f>
        <v/>
      </c>
      <c r="BJ20" s="53">
        <f>1/(1+$AM20)^(1-1)</f>
        <v/>
      </c>
      <c r="BK20" s="53">
        <f>1/(1+$AM20)^(2-1)</f>
        <v/>
      </c>
      <c r="BL20" s="53">
        <f>1/(1+$AM20)^(3-1)</f>
        <v/>
      </c>
      <c r="BM20" s="53">
        <f>1/(1+$AM20)^(4-1)</f>
        <v/>
      </c>
      <c r="BN20" s="53">
        <f>1/(1+$AM20)^(5-1)</f>
        <v/>
      </c>
      <c r="BO20" s="53">
        <f>1/(1+$AM20)^1</f>
        <v/>
      </c>
      <c r="BP20" s="53">
        <f>1/(1+$AM20)^2</f>
        <v/>
      </c>
      <c r="BQ20" s="53">
        <f>1/(1+$AM20)^3</f>
        <v/>
      </c>
      <c r="BR20" s="53">
        <f>1/(1+$AM20)^4</f>
        <v/>
      </c>
      <c r="BS20" s="53">
        <f>1/(1+$AM20)^5</f>
        <v/>
      </c>
      <c r="BT20" s="43">
        <f>IF(AND($I20="Direct monthly estimate",$J20&gt;0),$J20,$D20*$K20*$L20)</f>
        <v/>
      </c>
      <c r="BU20" s="43">
        <f>$BT20*$B20*12*(1+$N20)^(1-1)</f>
        <v/>
      </c>
      <c r="BV20" s="43">
        <f>$BT20*$B20*12*(1+$N20)^(2-1)</f>
        <v/>
      </c>
      <c r="BW20" s="43">
        <f>$BT20*$B20*12*(1+$N20)^(3-1)</f>
        <v/>
      </c>
      <c r="BX20" s="43">
        <f>$BT20*$B20*12*(1+$N20)^(4-1)</f>
        <v/>
      </c>
      <c r="BY20" s="43">
        <f>$BT20*$B20*12*(1+$N20)^(5-1)</f>
        <v/>
      </c>
      <c r="BZ20" s="43">
        <f>$BU20/31536000*$M20</f>
        <v/>
      </c>
      <c r="CA20" s="43">
        <f>$BV20/31536000*$M20</f>
        <v/>
      </c>
      <c r="CB20" s="43">
        <f>$BW20/31536000*$M20</f>
        <v/>
      </c>
      <c r="CC20" s="43">
        <f>$BX20/31536000*$M20</f>
        <v/>
      </c>
      <c r="CD20" s="43">
        <f>$BY20/31536000*$M20</f>
        <v/>
      </c>
      <c r="CE20" s="43">
        <f>$BZ20*$AI20</f>
        <v/>
      </c>
      <c r="CF20" s="43">
        <f>$CA20*$AI20</f>
        <v/>
      </c>
      <c r="CG20" s="43">
        <f>$CB20*$AI20</f>
        <v/>
      </c>
      <c r="CH20" s="43">
        <f>$CC20*$AI20</f>
        <v/>
      </c>
      <c r="CI20" s="43">
        <f>$CD20*$AI20</f>
        <v/>
      </c>
      <c r="CJ20" s="44">
        <f>$O20*(1-$Q20)*(1-$P20)^(1-1)</f>
        <v/>
      </c>
      <c r="CK20" s="44">
        <f>$O20*(1-$Q20)*(1-$P20)^(2-1)</f>
        <v/>
      </c>
      <c r="CL20" s="44">
        <f>$O20*(1-$Q20)*(1-$P20)^(3-1)</f>
        <v/>
      </c>
      <c r="CM20" s="44">
        <f>$O20*(1-$Q20)*(1-$P20)^(4-1)</f>
        <v/>
      </c>
      <c r="CN20" s="44">
        <f>$O20*(1-$Q20)*(1-$P20)^(5-1)</f>
        <v/>
      </c>
      <c r="CO20" s="45">
        <f>$BU20/1000000*$CJ20</f>
        <v/>
      </c>
      <c r="CP20" s="45">
        <f>$BV20/1000000*$CK20</f>
        <v/>
      </c>
      <c r="CQ20" s="45">
        <f>$BW20/1000000*$CL20</f>
        <v/>
      </c>
      <c r="CR20" s="45">
        <f>$BX20/1000000*$CM20</f>
        <v/>
      </c>
      <c r="CS20" s="45">
        <f>$BY20/1000000*$CN20</f>
        <v/>
      </c>
      <c r="CT20" s="45">
        <f>($T20*$U20+$S20)*$BE20</f>
        <v/>
      </c>
      <c r="CU20" s="45">
        <f>($T20*$U20+$S20)*$BF20</f>
        <v/>
      </c>
      <c r="CV20" s="45">
        <f>($T20*$U20+$S20)*$BG20</f>
        <v/>
      </c>
      <c r="CW20" s="45">
        <f>($T20*$U20+$S20)*$BH20</f>
        <v/>
      </c>
      <c r="CX20" s="45">
        <f>($T20*$U20+$S20)*$BI20</f>
        <v/>
      </c>
      <c r="CY20" s="45">
        <f>IF(1=1,$R20,0)</f>
        <v/>
      </c>
      <c r="CZ20" s="45">
        <f>IF(2=1,$R20,0)</f>
        <v/>
      </c>
      <c r="DA20" s="45">
        <f>IF(3=1,$R20,0)</f>
        <v/>
      </c>
      <c r="DB20" s="45">
        <f>IF(4=1,$R20,0)</f>
        <v/>
      </c>
      <c r="DC20" s="45">
        <f>IF(5=1,$R20,0)</f>
        <v/>
      </c>
      <c r="DD20" s="45">
        <f>$CO20+$CT20+$CY20</f>
        <v/>
      </c>
      <c r="DE20" s="45">
        <f>$CP20+$CU20+$CZ20</f>
        <v/>
      </c>
      <c r="DF20" s="45">
        <f>$CQ20+$CV20+$DA20</f>
        <v/>
      </c>
      <c r="DG20" s="45">
        <f>$CR20+$CW20+$DB20</f>
        <v/>
      </c>
      <c r="DH20" s="45">
        <f>$CS20+$CX20+$DC20</f>
        <v/>
      </c>
      <c r="DI20" s="45">
        <f>$CY20</f>
        <v/>
      </c>
      <c r="DJ20" s="45">
        <f>$CZ20</f>
        <v/>
      </c>
      <c r="DK20" s="45">
        <f>$DA20</f>
        <v/>
      </c>
      <c r="DL20" s="45">
        <f>$DB20</f>
        <v/>
      </c>
      <c r="DM20" s="45">
        <f>$DC20</f>
        <v/>
      </c>
      <c r="DN20" s="45">
        <f>$CO20+$CT20</f>
        <v/>
      </c>
      <c r="DO20" s="45">
        <f>$CP20+$CU20</f>
        <v/>
      </c>
      <c r="DP20" s="45">
        <f>$CQ20+$CV20</f>
        <v/>
      </c>
      <c r="DQ20" s="45">
        <f>$CR20+$CW20</f>
        <v/>
      </c>
      <c r="DR20" s="45">
        <f>$CS20+$CX20</f>
        <v/>
      </c>
      <c r="DS20" s="45">
        <f>0</f>
        <v/>
      </c>
      <c r="DT20" s="45">
        <f>SUMPRODUCT($AZ20:$BD20,$DD20:$DH20)</f>
        <v/>
      </c>
      <c r="DU20" s="45">
        <f>SUM($DD20:$DF20)</f>
        <v/>
      </c>
      <c r="DV20" s="45">
        <f>SUM($DD20:$DH20)</f>
        <v/>
      </c>
      <c r="DW20" s="45">
        <f>SUMPRODUCT($AZ20:$BD20,$DI20:$DM20,$BJ20:$BN20)+SUMPRODUCT($AZ20:$BD20,$DN20:$DR20,$BO20:$BS20)-$DS20/(1+$AM20)^$AX20</f>
        <v/>
      </c>
      <c r="DX20" s="43">
        <f>IF($CE20&gt;0,ROUNDUP($CE20/$AP20,0),0)</f>
        <v/>
      </c>
      <c r="DY20" s="43">
        <f>IF($CF20&gt;0,ROUNDUP($CF20/$AP20,0),0)</f>
        <v/>
      </c>
      <c r="DZ20" s="43">
        <f>IF($CG20&gt;0,ROUNDUP($CG20/$AP20,0),0)</f>
        <v/>
      </c>
      <c r="EA20" s="43">
        <f>IF($CH20&gt;0,ROUNDUP($CH20/$AP20,0),0)</f>
        <v/>
      </c>
      <c r="EB20" s="43">
        <f>IF($CI20&gt;0,ROUNDUP($CI20/$AP20,0),0)</f>
        <v/>
      </c>
      <c r="EC20" s="43">
        <f>MAX($DX20,0)</f>
        <v/>
      </c>
      <c r="ED20" s="43">
        <f>MAX($DY20,$EC20)</f>
        <v/>
      </c>
      <c r="EE20" s="43">
        <f>MAX($DZ20,$ED20)</f>
        <v/>
      </c>
      <c r="EF20" s="43">
        <f>MAX($EA20,$EE20)</f>
        <v/>
      </c>
      <c r="EG20" s="43">
        <f>MAX($EB20,$EF20)</f>
        <v/>
      </c>
      <c r="EH20" s="43">
        <f>$EC20-0</f>
        <v/>
      </c>
      <c r="EI20" s="43">
        <f>$ED20-$EC20</f>
        <v/>
      </c>
      <c r="EJ20" s="43">
        <f>$EE20-$ED20</f>
        <v/>
      </c>
      <c r="EK20" s="43">
        <f>$EF20-$EE20</f>
        <v/>
      </c>
      <c r="EL20" s="43">
        <f>$EG20-$EF20</f>
        <v/>
      </c>
      <c r="EM20" s="43">
        <f>0</f>
        <v/>
      </c>
      <c r="EN20" s="43">
        <f>(1+$AY20=2)*$ER20</f>
        <v/>
      </c>
      <c r="EO20" s="43">
        <f>(1+$AY20=3)*$ER20+(2+$AY20=3)*$ES20</f>
        <v/>
      </c>
      <c r="EP20" s="43">
        <f>(1+$AY20=4)*$ER20+(2+$AY20=4)*$ES20+(3+$AY20=4)*$ET20</f>
        <v/>
      </c>
      <c r="EQ20" s="43">
        <f>(1+$AY20=5)*$ER20+(2+$AY20=5)*$ES20+(3+$AY20=5)*$ET20+(4+$AY20=5)*$EU20</f>
        <v/>
      </c>
      <c r="ER20" s="43">
        <f>$EH20+$EM20</f>
        <v/>
      </c>
      <c r="ES20" s="43">
        <f>$EI20+$EN20</f>
        <v/>
      </c>
      <c r="ET20" s="43">
        <f>$EJ20+$EO20</f>
        <v/>
      </c>
      <c r="EU20" s="43">
        <f>$EK20+$EP20</f>
        <v/>
      </c>
      <c r="EV20" s="43">
        <f>$EL20+$EQ20</f>
        <v/>
      </c>
      <c r="EW20" s="45">
        <f>$ER20*$V20</f>
        <v/>
      </c>
      <c r="EX20" s="45">
        <f>$ES20*$V20</f>
        <v/>
      </c>
      <c r="EY20" s="45">
        <f>$ET20*$V20</f>
        <v/>
      </c>
      <c r="EZ20" s="45">
        <f>$EU20*$V20</f>
        <v/>
      </c>
      <c r="FA20" s="45">
        <f>$EV20*$V20</f>
        <v/>
      </c>
      <c r="FB20" s="45">
        <f>$EM20*$V20*$X20</f>
        <v/>
      </c>
      <c r="FC20" s="45">
        <f>$EN20*$V20*$X20</f>
        <v/>
      </c>
      <c r="FD20" s="45">
        <f>$EO20*$V20*$X20</f>
        <v/>
      </c>
      <c r="FE20" s="45">
        <f>$EP20*$V20*$X20</f>
        <v/>
      </c>
      <c r="FF20" s="45">
        <f>$EQ20*$V20*$X20</f>
        <v/>
      </c>
      <c r="FG20" s="45">
        <f>$EC20*$V20*(1-$X20)/$AY20</f>
        <v/>
      </c>
      <c r="FH20" s="45">
        <f>$ED20*$V20*(1-$X20)/$AY20</f>
        <v/>
      </c>
      <c r="FI20" s="45">
        <f>$EE20*$V20*(1-$X20)/$AY20</f>
        <v/>
      </c>
      <c r="FJ20" s="45">
        <f>$EF20*$V20*(1-$X20)/$AY20</f>
        <v/>
      </c>
      <c r="FK20" s="45">
        <f>$EG20*$V20*(1-$X20)/$AY20</f>
        <v/>
      </c>
      <c r="FL20" s="45">
        <f>$EC20*$Y20*$Z20*$AA20*8760*$BE20</f>
        <v/>
      </c>
      <c r="FM20" s="45">
        <f>$ED20*$Y20*$Z20*$AA20*8760*$BF20</f>
        <v/>
      </c>
      <c r="FN20" s="45">
        <f>$EE20*$Y20*$Z20*$AA20*8760*$BG20</f>
        <v/>
      </c>
      <c r="FO20" s="45">
        <f>$EF20*$Y20*$Z20*$AA20*8760*$BH20</f>
        <v/>
      </c>
      <c r="FP20" s="45">
        <f>$EG20*$Y20*$Z20*$AA20*8760*$BI20</f>
        <v/>
      </c>
      <c r="FQ20" s="45">
        <f>IF($AC20&gt;0,$AC20,$EC20*$Y20*$AB20*12)*$BE20</f>
        <v/>
      </c>
      <c r="FR20" s="45">
        <f>IF($AC20&gt;0,$AC20,$ED20*$Y20*$AB20*12)*$BF20</f>
        <v/>
      </c>
      <c r="FS20" s="45">
        <f>IF($AC20&gt;0,$AC20,$EE20*$Y20*$AB20*12)*$BG20</f>
        <v/>
      </c>
      <c r="FT20" s="45">
        <f>IF($AC20&gt;0,$AC20,$EF20*$Y20*$AB20*12)*$BH20</f>
        <v/>
      </c>
      <c r="FU20" s="45">
        <f>IF($AC20&gt;0,$AC20,$EG20*$Y20*$AB20*12)*$BI20</f>
        <v/>
      </c>
      <c r="FV20" s="45">
        <f>$EC20*$V20*$AD20*$BE20</f>
        <v/>
      </c>
      <c r="FW20" s="45">
        <f>$ED20*$V20*$AD20*$BF20</f>
        <v/>
      </c>
      <c r="FX20" s="45">
        <f>$EE20*$V20*$AD20*$BG20</f>
        <v/>
      </c>
      <c r="FY20" s="45">
        <f>$EF20*$V20*$AD20*$BH20</f>
        <v/>
      </c>
      <c r="FZ20" s="45">
        <f>$EG20*$V20*$AD20*$BI20</f>
        <v/>
      </c>
      <c r="GA20" s="45">
        <f>$AE20*$BE20</f>
        <v/>
      </c>
      <c r="GB20" s="45">
        <f>$AE20*$BF20</f>
        <v/>
      </c>
      <c r="GC20" s="45">
        <f>$AE20*$BG20</f>
        <v/>
      </c>
      <c r="GD20" s="45">
        <f>$AE20*$BH20</f>
        <v/>
      </c>
      <c r="GE20" s="45">
        <f>$AE20*$BI20</f>
        <v/>
      </c>
      <c r="GF20" s="45">
        <f>$AF20*$AG20*$BE20</f>
        <v/>
      </c>
      <c r="GG20" s="45">
        <f>$AF20*$AG20*$BF20</f>
        <v/>
      </c>
      <c r="GH20" s="45">
        <f>$AF20*$AG20*$BG20</f>
        <v/>
      </c>
      <c r="GI20" s="45">
        <f>$AF20*$AG20*$BH20</f>
        <v/>
      </c>
      <c r="GJ20" s="45">
        <f>$AF20*$AG20*$BI20</f>
        <v/>
      </c>
      <c r="GK20" s="45">
        <f>IF(1=1,$AH20,0)</f>
        <v/>
      </c>
      <c r="GL20" s="45">
        <f>IF(2=1,$AH20,0)</f>
        <v/>
      </c>
      <c r="GM20" s="45">
        <f>IF(3=1,$AH20,0)</f>
        <v/>
      </c>
      <c r="GN20" s="45">
        <f>IF(4=1,$AH20,0)</f>
        <v/>
      </c>
      <c r="GO20" s="45">
        <f>IF(5=1,$AH20,0)</f>
        <v/>
      </c>
      <c r="GP20" s="45">
        <f>$FG20+$FL20+$FQ20+$FV20+$GA20+$GF20+$GK20</f>
        <v/>
      </c>
      <c r="GQ20" s="45">
        <f>$FH20+$FM20+$FR20+$FW20+$GB20+$GG20+$GL20</f>
        <v/>
      </c>
      <c r="GR20" s="45">
        <f>$FI20+$FN20+$FS20+$FX20+$GC20+$GH20+$GM20</f>
        <v/>
      </c>
      <c r="GS20" s="45">
        <f>$FJ20+$FO20+$FT20+$FY20+$GD20+$GI20+$GN20</f>
        <v/>
      </c>
      <c r="GT20" s="45">
        <f>$FK20+$FP20+$FU20+$FZ20+$GE20+$GJ20+$GO20</f>
        <v/>
      </c>
      <c r="GU20" s="45">
        <f>$EW20-$FB20+$GK20</f>
        <v/>
      </c>
      <c r="GV20" s="45">
        <f>$EX20-$FC20+$GL20</f>
        <v/>
      </c>
      <c r="GW20" s="45">
        <f>$EY20-$FD20+$GM20</f>
        <v/>
      </c>
      <c r="GX20" s="45">
        <f>$EZ20-$FE20+$GN20</f>
        <v/>
      </c>
      <c r="GY20" s="45">
        <f>$FA20-$FF20+$GO20</f>
        <v/>
      </c>
      <c r="GZ20" s="45">
        <f>$FL20+$FQ20+$FV20+$GA20+$GF20</f>
        <v/>
      </c>
      <c r="HA20" s="45">
        <f>$FM20+$FR20+$FW20+$GB20+$GG20</f>
        <v/>
      </c>
      <c r="HB20" s="45">
        <f>$FN20+$FS20+$FX20+$GC20+$GH20</f>
        <v/>
      </c>
      <c r="HC20" s="45">
        <f>$FO20+$FT20+$FY20+$GD20+$GI20</f>
        <v/>
      </c>
      <c r="HD20" s="45">
        <f>$FP20+$FU20+$FZ20+$GE20+$GJ20</f>
        <v/>
      </c>
      <c r="HE20" s="45">
        <f>((1&lt;=$AX20)*(1&gt;$AX20-$AY20))*$ER20*$V20*MAX(0,1-(1-$X20)*($AX20-1+1)/$AY20)+((2&lt;=$AX20)*(2&gt;$AX20-$AY20))*$ES20*$V20*MAX(0,1-(1-$X20)*($AX20-2+1)/$AY20)+((3&lt;=$AX20)*(3&gt;$AX20-$AY20))*$ET20*$V20*MAX(0,1-(1-$X20)*($AX20-3+1)/$AY20)+((4&lt;=$AX20)*(4&gt;$AX20-$AY20))*$EU20*$V20*MAX(0,1-(1-$X20)*($AX20-4+1)/$AY20)+((5&lt;=$AX20)*(5&gt;$AX20-$AY20))*$EV20*$V20*MAX(0,1-(1-$X20)*($AX20-5+1)/$AY20)</f>
        <v/>
      </c>
      <c r="HF20" s="45">
        <f>SUMPRODUCT($AZ20:$BD20,$GP20:$GT20)</f>
        <v/>
      </c>
      <c r="HG20" s="45">
        <f>SUM($GP20:$GR20)</f>
        <v/>
      </c>
      <c r="HH20" s="45">
        <f>SUM($GP20:$GT20)</f>
        <v/>
      </c>
      <c r="HI20" s="45">
        <f>SUMPRODUCT($AZ20:$BD20,$GU20:$GY20,$BJ20:$BN20)+SUMPRODUCT($AZ20:$BD20,$GZ20:$HD20,$BO20:$BS20)-$HE20/(1+$AM20)^$AX20</f>
        <v/>
      </c>
      <c r="HJ20" s="46">
        <f>MIN(1,MAX(0,IF(ISNUMBER($AJ20),$AJ20,IF($F20+$G20+$H20&gt;0,($G20+$H20)/($F20+$G20+$H20),0))*$AR20))</f>
        <v/>
      </c>
      <c r="HK20" s="25">
        <f>IF($HJ20&gt;0,1,0)</f>
        <v/>
      </c>
      <c r="HL20" s="25">
        <f>IF($HJ20&lt;1,1,0)</f>
        <v/>
      </c>
      <c r="HM20" s="43">
        <f>IF($CE20*$HJ20&gt;0,ROUNDUP($CE20*$HJ20/$AP20,0),0)</f>
        <v/>
      </c>
      <c r="HN20" s="43">
        <f>IF($CF20*$HJ20&gt;0,ROUNDUP($CF20*$HJ20/$AP20,0),0)</f>
        <v/>
      </c>
      <c r="HO20" s="43">
        <f>IF($CG20*$HJ20&gt;0,ROUNDUP($CG20*$HJ20/$AP20,0),0)</f>
        <v/>
      </c>
      <c r="HP20" s="43">
        <f>IF($CH20*$HJ20&gt;0,ROUNDUP($CH20*$HJ20/$AP20,0),0)</f>
        <v/>
      </c>
      <c r="HQ20" s="43">
        <f>IF($CI20*$HJ20&gt;0,ROUNDUP($CI20*$HJ20/$AP20,0),0)</f>
        <v/>
      </c>
      <c r="HR20" s="43">
        <f>MAX($HM20,0)</f>
        <v/>
      </c>
      <c r="HS20" s="43">
        <f>MAX($HN20,$HR20)</f>
        <v/>
      </c>
      <c r="HT20" s="43">
        <f>MAX($HO20,$HS20)</f>
        <v/>
      </c>
      <c r="HU20" s="43">
        <f>MAX($HP20,$HT20)</f>
        <v/>
      </c>
      <c r="HV20" s="43">
        <f>MAX($HQ20,$HU20)</f>
        <v/>
      </c>
      <c r="HW20" s="43">
        <f>$HR20-0</f>
        <v/>
      </c>
      <c r="HX20" s="43">
        <f>$HS20-$HR20</f>
        <v/>
      </c>
      <c r="HY20" s="43">
        <f>$HT20-$HS20</f>
        <v/>
      </c>
      <c r="HZ20" s="43">
        <f>$HU20-$HT20</f>
        <v/>
      </c>
      <c r="IA20" s="43">
        <f>$HV20-$HU20</f>
        <v/>
      </c>
      <c r="IB20" s="43">
        <f>0</f>
        <v/>
      </c>
      <c r="IC20" s="43">
        <f>(1+$AY20=2)*$IG20</f>
        <v/>
      </c>
      <c r="ID20" s="43">
        <f>(1+$AY20=3)*$IG20+(2+$AY20=3)*$IH20</f>
        <v/>
      </c>
      <c r="IE20" s="43">
        <f>(1+$AY20=4)*$IG20+(2+$AY20=4)*$IH20+(3+$AY20=4)*$II20</f>
        <v/>
      </c>
      <c r="IF20" s="43">
        <f>(1+$AY20=5)*$IG20+(2+$AY20=5)*$IH20+(3+$AY20=5)*$II20+(4+$AY20=5)*$IJ20</f>
        <v/>
      </c>
      <c r="IG20" s="43">
        <f>$HW20+$IB20</f>
        <v/>
      </c>
      <c r="IH20" s="43">
        <f>$HX20+$IC20</f>
        <v/>
      </c>
      <c r="II20" s="43">
        <f>$HY20+$ID20</f>
        <v/>
      </c>
      <c r="IJ20" s="43">
        <f>$HZ20+$IE20</f>
        <v/>
      </c>
      <c r="IK20" s="43">
        <f>$IA20+$IF20</f>
        <v/>
      </c>
      <c r="IL20" s="45">
        <f>$IG20*$V20</f>
        <v/>
      </c>
      <c r="IM20" s="45">
        <f>$IH20*$V20</f>
        <v/>
      </c>
      <c r="IN20" s="45">
        <f>$II20*$V20</f>
        <v/>
      </c>
      <c r="IO20" s="45">
        <f>$IJ20*$V20</f>
        <v/>
      </c>
      <c r="IP20" s="45">
        <f>$IK20*$V20</f>
        <v/>
      </c>
      <c r="IQ20" s="45">
        <f>$IB20*$V20*$X20</f>
        <v/>
      </c>
      <c r="IR20" s="45">
        <f>$IC20*$V20*$X20</f>
        <v/>
      </c>
      <c r="IS20" s="45">
        <f>$ID20*$V20*$X20</f>
        <v/>
      </c>
      <c r="IT20" s="45">
        <f>$IE20*$V20*$X20</f>
        <v/>
      </c>
      <c r="IU20" s="45">
        <f>$IF20*$V20*$X20</f>
        <v/>
      </c>
      <c r="IV20" s="45">
        <f>$HR20*$V20*(1-$X20)/$AY20</f>
        <v/>
      </c>
      <c r="IW20" s="45">
        <f>$HS20*$V20*(1-$X20)/$AY20</f>
        <v/>
      </c>
      <c r="IX20" s="45">
        <f>$HT20*$V20*(1-$X20)/$AY20</f>
        <v/>
      </c>
      <c r="IY20" s="45">
        <f>$HU20*$V20*(1-$X20)/$AY20</f>
        <v/>
      </c>
      <c r="IZ20" s="45">
        <f>$HV20*$V20*(1-$X20)/$AY20</f>
        <v/>
      </c>
      <c r="JA20" s="45">
        <f>$HR20*$Y20*$Z20*$AA20*8760*$BE20</f>
        <v/>
      </c>
      <c r="JB20" s="45">
        <f>$HS20*$Y20*$Z20*$AA20*8760*$BF20</f>
        <v/>
      </c>
      <c r="JC20" s="45">
        <f>$HT20*$Y20*$Z20*$AA20*8760*$BG20</f>
        <v/>
      </c>
      <c r="JD20" s="45">
        <f>$HU20*$Y20*$Z20*$AA20*8760*$BH20</f>
        <v/>
      </c>
      <c r="JE20" s="45">
        <f>$HV20*$Y20*$Z20*$AA20*8760*$BI20</f>
        <v/>
      </c>
      <c r="JF20" s="45">
        <f>IF($AC20&gt;0,$AC20*$HK20,$HR20*$Y20*$AB20*12)*$BE20</f>
        <v/>
      </c>
      <c r="JG20" s="45">
        <f>IF($AC20&gt;0,$AC20*$HK20,$HS20*$Y20*$AB20*12)*$BF20</f>
        <v/>
      </c>
      <c r="JH20" s="45">
        <f>IF($AC20&gt;0,$AC20*$HK20,$HT20*$Y20*$AB20*12)*$BG20</f>
        <v/>
      </c>
      <c r="JI20" s="45">
        <f>IF($AC20&gt;0,$AC20*$HK20,$HU20*$Y20*$AB20*12)*$BH20</f>
        <v/>
      </c>
      <c r="JJ20" s="45">
        <f>IF($AC20&gt;0,$AC20*$HK20,$HV20*$Y20*$AB20*12)*$BI20</f>
        <v/>
      </c>
      <c r="JK20" s="45">
        <f>$HR20*$V20*$AD20*$BE20</f>
        <v/>
      </c>
      <c r="JL20" s="45">
        <f>$HS20*$V20*$AD20*$BF20</f>
        <v/>
      </c>
      <c r="JM20" s="45">
        <f>$HT20*$V20*$AD20*$BG20</f>
        <v/>
      </c>
      <c r="JN20" s="45">
        <f>$HU20*$V20*$AD20*$BH20</f>
        <v/>
      </c>
      <c r="JO20" s="45">
        <f>$HV20*$V20*$AD20*$BI20</f>
        <v/>
      </c>
      <c r="JP20" s="45">
        <f>$AE20*$BE20*$HK20</f>
        <v/>
      </c>
      <c r="JQ20" s="45">
        <f>$AE20*$BF20*$HK20</f>
        <v/>
      </c>
      <c r="JR20" s="45">
        <f>$AE20*$BG20*$HK20</f>
        <v/>
      </c>
      <c r="JS20" s="45">
        <f>$AE20*$BH20*$HK20</f>
        <v/>
      </c>
      <c r="JT20" s="45">
        <f>$AE20*$BI20*$HK20</f>
        <v/>
      </c>
      <c r="JU20" s="45">
        <f>$AQ20*$AG20*$BE20*$HK20</f>
        <v/>
      </c>
      <c r="JV20" s="45">
        <f>$AQ20*$AG20*$BF20*$HK20</f>
        <v/>
      </c>
      <c r="JW20" s="45">
        <f>$AQ20*$AG20*$BG20*$HK20</f>
        <v/>
      </c>
      <c r="JX20" s="45">
        <f>$AQ20*$AG20*$BH20*$HK20</f>
        <v/>
      </c>
      <c r="JY20" s="45">
        <f>$AQ20*$AG20*$BI20*$HK20</f>
        <v/>
      </c>
      <c r="JZ20" s="45">
        <f>$BU20*(1-$HJ20)/1000000*$CJ20</f>
        <v/>
      </c>
      <c r="KA20" s="45">
        <f>$BV20*(1-$HJ20)/1000000*$CK20</f>
        <v/>
      </c>
      <c r="KB20" s="45">
        <f>$BW20*(1-$HJ20)/1000000*$CL20</f>
        <v/>
      </c>
      <c r="KC20" s="45">
        <f>$BX20*(1-$HJ20)/1000000*$CM20</f>
        <v/>
      </c>
      <c r="KD20" s="45">
        <f>$BY20*(1-$HJ20)/1000000*$CN20</f>
        <v/>
      </c>
      <c r="KE20" s="45">
        <f>$CT20*$HL20</f>
        <v/>
      </c>
      <c r="KF20" s="45">
        <f>$CU20*$HL20</f>
        <v/>
      </c>
      <c r="KG20" s="45">
        <f>$CV20*$HL20</f>
        <v/>
      </c>
      <c r="KH20" s="45">
        <f>$CW20*$HL20</f>
        <v/>
      </c>
      <c r="KI20" s="45">
        <f>$CX20*$HL20</f>
        <v/>
      </c>
      <c r="KJ20" s="45">
        <f>IF(1=1,$R20*$HL20+$AH20*$HK20+$AK20,0)</f>
        <v/>
      </c>
      <c r="KK20" s="45">
        <f>IF(2=1,$R20*$HL20+$AH20*$HK20+$AK20,0)</f>
        <v/>
      </c>
      <c r="KL20" s="45">
        <f>IF(3=1,$R20*$HL20+$AH20*$HK20+$AK20,0)</f>
        <v/>
      </c>
      <c r="KM20" s="45">
        <f>IF(4=1,$R20*$HL20+$AH20*$HK20+$AK20,0)</f>
        <v/>
      </c>
      <c r="KN20" s="45">
        <f>IF(5=1,$R20*$HL20+$AH20*$HK20+$AK20,0)</f>
        <v/>
      </c>
      <c r="KO20" s="45">
        <f>$IV20+$JA20+$JF20+$JK20+$JP20+$JU20+$JZ20+$KE20+$KJ20</f>
        <v/>
      </c>
      <c r="KP20" s="45">
        <f>$IW20+$JB20+$JG20+$JL20+$JQ20+$JV20+$KA20+$KF20+$KK20</f>
        <v/>
      </c>
      <c r="KQ20" s="45">
        <f>$IX20+$JC20+$JH20+$JM20+$JR20+$JW20+$KB20+$KG20+$KL20</f>
        <v/>
      </c>
      <c r="KR20" s="45">
        <f>$IY20+$JD20+$JI20+$JN20+$JS20+$JX20+$KC20+$KH20+$KM20</f>
        <v/>
      </c>
      <c r="KS20" s="45">
        <f>$IZ20+$JE20+$JJ20+$JO20+$JT20+$JY20+$KD20+$KI20+$KN20</f>
        <v/>
      </c>
      <c r="KT20" s="45">
        <f>$IL20-$IQ20+$KJ20</f>
        <v/>
      </c>
      <c r="KU20" s="45">
        <f>$IM20-$IR20+$KK20</f>
        <v/>
      </c>
      <c r="KV20" s="45">
        <f>$IN20-$IS20+$KL20</f>
        <v/>
      </c>
      <c r="KW20" s="45">
        <f>$IO20-$IT20+$KM20</f>
        <v/>
      </c>
      <c r="KX20" s="45">
        <f>$IP20-$IU20+$KN20</f>
        <v/>
      </c>
      <c r="KY20" s="45">
        <f>$JA20+$JF20+$JK20+$JP20+$JU20+$JZ20+$KE20</f>
        <v/>
      </c>
      <c r="KZ20" s="45">
        <f>$JB20+$JG20+$JL20+$JQ20+$JV20+$KA20+$KF20</f>
        <v/>
      </c>
      <c r="LA20" s="45">
        <f>$JC20+$JH20+$JM20+$JR20+$JW20+$KB20+$KG20</f>
        <v/>
      </c>
      <c r="LB20" s="45">
        <f>$JD20+$JI20+$JN20+$JS20+$JX20+$KC20+$KH20</f>
        <v/>
      </c>
      <c r="LC20" s="45">
        <f>$JE20+$JJ20+$JO20+$JT20+$JY20+$KD20+$KI20</f>
        <v/>
      </c>
      <c r="LD20" s="45">
        <f>((1&lt;=$AX20)*(1&gt;$AX20-$AY20))*$IG20*$V20*MAX(0,1-(1-$X20)*($AX20-1+1)/$AY20)+((2&lt;=$AX20)*(2&gt;$AX20-$AY20))*$IH20*$V20*MAX(0,1-(1-$X20)*($AX20-2+1)/$AY20)+((3&lt;=$AX20)*(3&gt;$AX20-$AY20))*$II20*$V20*MAX(0,1-(1-$X20)*($AX20-3+1)/$AY20)+((4&lt;=$AX20)*(4&gt;$AX20-$AY20))*$IJ20*$V20*MAX(0,1-(1-$X20)*($AX20-4+1)/$AY20)+((5&lt;=$AX20)*(5&gt;$AX20-$AY20))*$IK20*$V20*MAX(0,1-(1-$X20)*($AX20-5+1)/$AY20)</f>
        <v/>
      </c>
      <c r="LE20" s="45">
        <f>SUMPRODUCT($AZ20:$BD20,$KO20:$KS20)</f>
        <v/>
      </c>
      <c r="LF20" s="45">
        <f>SUM($KO20:$KQ20)</f>
        <v/>
      </c>
      <c r="LG20" s="45">
        <f>SUM($KO20:$KS20)</f>
        <v/>
      </c>
      <c r="LH20" s="45">
        <f>SUMPRODUCT($AZ20:$BD20,$KT20:$KX20,$BJ20:$BN20)+SUMPRODUCT($AZ20:$BD20,$KY20:$LC20,$BO20:$BS20)-$LD20/(1+$AM20)^$AX20</f>
        <v/>
      </c>
      <c r="LI20" s="43">
        <f>$BU20/1000000</f>
        <v/>
      </c>
      <c r="LJ20" s="44">
        <f>IF($LI20&gt;0,$DD20/$LI20,0)</f>
        <v/>
      </c>
      <c r="LK20" s="44">
        <f>IF($LI20&gt;0,$GP20/$LI20,0)</f>
        <v/>
      </c>
      <c r="LL20" s="44">
        <f>IF($LI20&gt;0,$KO20/$LI20,0)</f>
        <v/>
      </c>
      <c r="LM20" s="43">
        <f>$AP20*31536000/1000000</f>
        <v/>
      </c>
      <c r="LN20" s="43">
        <f>$EC20*$LM20</f>
        <v/>
      </c>
      <c r="LO20" s="45">
        <f>$FG20+$FL20+$FQ20+$FV20+$GA20+$GF20</f>
        <v/>
      </c>
      <c r="LP20" s="46">
        <f>IF($LN20*$CJ20&gt;0,MAX(0,($LO20-$CT20)/($LN20*$CJ20)),0)</f>
        <v/>
      </c>
      <c r="LQ20" s="46">
        <f>IF($LN20&gt;0,$LI20/$LN20,0)</f>
        <v/>
      </c>
      <c r="LR20" s="46">
        <f>1/($M20*$AI20)</f>
        <v/>
      </c>
      <c r="LS20" s="43">
        <f>$HR20*$LM20</f>
        <v/>
      </c>
      <c r="LT20" s="45">
        <f>$IV20+$JA20+$JF20+$JK20+$JP20+$JU20</f>
        <v/>
      </c>
      <c r="LU20" s="46">
        <f>IF($LS20*$CJ20&gt;0,$LT20/($LS20*$CJ20),0)</f>
        <v/>
      </c>
      <c r="LV20" s="46">
        <f>IF($LS20&gt;0,$LI20*$HJ20/$LS20,0)</f>
        <v/>
      </c>
      <c r="LW20" s="45">
        <f>$V20*(1-$X20)/$AY20+$Y20*$Z20*$AA20*8760+IF($AC20&gt;0,0,$Y20*$AB20*12)+$V20*$AD20</f>
        <v/>
      </c>
      <c r="LX20" s="46">
        <f>IF($LM20*$CJ20&gt;0,$LW20/($LM20*$CJ20),0)</f>
        <v/>
      </c>
      <c r="LY20" s="44">
        <f>IF($LM20*$LR20&gt;0,$LW20/($LM20*$LR20),0)</f>
        <v/>
      </c>
      <c r="LZ20" s="45">
        <f>$AE20+$AF20*$AG20+IF($AC20&gt;0,$AC20,0)-$CT20</f>
        <v/>
      </c>
      <c r="MA20" s="43">
        <f>IF($CJ20&gt;$LY20,MAX(0,$LZ20)/($CJ20-$LY20)*1000000,"Not reachable")</f>
        <v/>
      </c>
      <c r="MB20" s="47">
        <f>IF(AND(ISNUMBER($MA20),$BU20&gt;0),$MA20/$BU20,"n/a")</f>
        <v/>
      </c>
      <c r="MC20" s="47">
        <f>$B20*MAX(0,$D20-1)*$E20</f>
        <v/>
      </c>
      <c r="MD20" s="45">
        <f>$MC20*$C20</f>
        <v/>
      </c>
      <c r="ME20" s="45">
        <f>$MD20*SUMPRODUCT($AZ20:$BD20,$BO20:$BS20)</f>
        <v/>
      </c>
      <c r="MF20" s="45">
        <f>IF($AO20="Yes",$ME20-$DW20,0)</f>
        <v/>
      </c>
      <c r="MG20" s="45">
        <f>IF($AO20="Yes",$ME20-$HI20,0)</f>
        <v/>
      </c>
      <c r="MH20" s="45">
        <f>IF($AO20="Yes",$ME20-$LH20,0)</f>
        <v/>
      </c>
      <c r="MI20" s="45">
        <f>IF($AO20="Yes",$MD20-$DD20,0)</f>
        <v/>
      </c>
      <c r="MJ20" s="25">
        <f>IF(AND($DW20&lt;=$HI20,$DW20&lt;=$LH20),"Rent the Frontier",IF($HI20&lt;=$LH20,"Own the Frontier","Hybrid"))</f>
        <v/>
      </c>
      <c r="MK20" s="25">
        <f>IF(AND($DT20&lt;=$HF20,$DT20&lt;=$LE20),"Rent the Frontier",IF($HF20&lt;=$LE20,"Own the Frontier","Hybrid"))</f>
        <v/>
      </c>
    </row>
    <row r="21">
      <c r="A21" s="25">
        <f>Sensitivity!A24&amp;" ("&amp;Sensitivity!C24&amp;")"</f>
        <v/>
      </c>
      <c r="B21" s="25">
        <f>Inputs!$B$5</f>
        <v/>
      </c>
      <c r="C21" s="25">
        <f>Inputs!$B$6</f>
        <v/>
      </c>
      <c r="D21" s="25">
        <f>Inputs!$B$7</f>
        <v/>
      </c>
      <c r="E21" s="25">
        <f>Inputs!$B$8</f>
        <v/>
      </c>
      <c r="F21" s="25">
        <f>Inputs!$B$12</f>
        <v/>
      </c>
      <c r="G21" s="25">
        <f>Inputs!$B$13</f>
        <v/>
      </c>
      <c r="H21" s="25">
        <f>Inputs!$B$14</f>
        <v/>
      </c>
      <c r="I21" s="25">
        <f>Inputs!$B$18</f>
        <v/>
      </c>
      <c r="J21" s="25">
        <f>Inputs!$B$19</f>
        <v/>
      </c>
      <c r="K21" s="25">
        <f>Inputs!$B$20</f>
        <v/>
      </c>
      <c r="L21" s="25">
        <f>Inputs!$B$21</f>
        <v/>
      </c>
      <c r="M21" s="25">
        <f>Inputs!$B$22</f>
        <v/>
      </c>
      <c r="N21" s="25">
        <f>Inputs!$B$23</f>
        <v/>
      </c>
      <c r="O21" s="25">
        <f>Inputs!$B$26</f>
        <v/>
      </c>
      <c r="P21" s="25">
        <f>Inputs!$B$27</f>
        <v/>
      </c>
      <c r="Q21" s="25">
        <f>Inputs!$B$28</f>
        <v/>
      </c>
      <c r="R21" s="25">
        <f>Inputs!$B$29</f>
        <v/>
      </c>
      <c r="S21" s="25">
        <f>Inputs!$B$30</f>
        <v/>
      </c>
      <c r="T21" s="25">
        <f>Inputs!$B$31</f>
        <v/>
      </c>
      <c r="U21" s="25">
        <f>Inputs!$B$32</f>
        <v/>
      </c>
      <c r="V21" s="25">
        <f>Inputs!$B$35</f>
        <v/>
      </c>
      <c r="W21" s="25">
        <f>Inputs!$B$36</f>
        <v/>
      </c>
      <c r="X21" s="25">
        <f>Inputs!$B$37</f>
        <v/>
      </c>
      <c r="Y21" s="25">
        <f>Inputs!$B$38</f>
        <v/>
      </c>
      <c r="Z21" s="25">
        <f>Inputs!$B$39</f>
        <v/>
      </c>
      <c r="AA21" s="25">
        <f>Inputs!$B$40</f>
        <v/>
      </c>
      <c r="AB21" s="25">
        <f>Inputs!$B$41</f>
        <v/>
      </c>
      <c r="AC21" s="25">
        <f>Inputs!$B$42</f>
        <v/>
      </c>
      <c r="AD21" s="25">
        <f>Inputs!$B$43</f>
        <v/>
      </c>
      <c r="AE21" s="25">
        <f>Inputs!$B$44</f>
        <v/>
      </c>
      <c r="AF21" s="25">
        <f>Inputs!$B$45</f>
        <v/>
      </c>
      <c r="AG21" s="25">
        <f>Inputs!$B$46</f>
        <v/>
      </c>
      <c r="AH21" s="25">
        <f>Inputs!$B$47</f>
        <v/>
      </c>
      <c r="AI21" s="25">
        <f>Inputs!$B$48</f>
        <v/>
      </c>
      <c r="AJ21" s="25">
        <f>IF(ISNUMBER(Inputs!$B$51),Inputs!$B$51,"")</f>
        <v/>
      </c>
      <c r="AK21" s="25">
        <f>Inputs!$B$52</f>
        <v/>
      </c>
      <c r="AL21" s="25">
        <f>Inputs!$B$55</f>
        <v/>
      </c>
      <c r="AM21" s="25">
        <f>Inputs!$B$56</f>
        <v/>
      </c>
      <c r="AN21" s="25">
        <f>Inputs!$B$57</f>
        <v/>
      </c>
      <c r="AO21" s="25">
        <f>Inputs!$B$58</f>
        <v/>
      </c>
      <c r="AP21" s="25">
        <f>Inputs!$B$61</f>
        <v/>
      </c>
      <c r="AQ21" s="25">
        <f>Inputs!$B$62</f>
        <v/>
      </c>
      <c r="AR21" s="25">
        <f>1*Sensitivity!$D$24</f>
        <v/>
      </c>
      <c r="AS21" s="25" t="n">
        <v>1</v>
      </c>
      <c r="AT21" s="25" t="n">
        <v>2</v>
      </c>
      <c r="AU21" s="25" t="n">
        <v>3</v>
      </c>
      <c r="AV21" s="25" t="n">
        <v>4</v>
      </c>
      <c r="AW21" s="25" t="n">
        <v>5</v>
      </c>
      <c r="AX21" s="25">
        <f>MIN(5,MAX(1,ROUND($AL21,0)))</f>
        <v/>
      </c>
      <c r="AY21" s="25">
        <f>MAX(1,ROUND($W21,0))</f>
        <v/>
      </c>
      <c r="AZ21" s="25">
        <f>IF(1&lt;=$AX21,1,0)</f>
        <v/>
      </c>
      <c r="BA21" s="25">
        <f>IF(2&lt;=$AX21,1,0)</f>
        <v/>
      </c>
      <c r="BB21" s="25">
        <f>IF(3&lt;=$AX21,1,0)</f>
        <v/>
      </c>
      <c r="BC21" s="25">
        <f>IF(4&lt;=$AX21,1,0)</f>
        <v/>
      </c>
      <c r="BD21" s="25">
        <f>IF(5&lt;=$AX21,1,0)</f>
        <v/>
      </c>
      <c r="BE21" s="52">
        <f>(1+$AN21)^(1-1)</f>
        <v/>
      </c>
      <c r="BF21" s="52">
        <f>(1+$AN21)^(2-1)</f>
        <v/>
      </c>
      <c r="BG21" s="52">
        <f>(1+$AN21)^(3-1)</f>
        <v/>
      </c>
      <c r="BH21" s="52">
        <f>(1+$AN21)^(4-1)</f>
        <v/>
      </c>
      <c r="BI21" s="52">
        <f>(1+$AN21)^(5-1)</f>
        <v/>
      </c>
      <c r="BJ21" s="53">
        <f>1/(1+$AM21)^(1-1)</f>
        <v/>
      </c>
      <c r="BK21" s="53">
        <f>1/(1+$AM21)^(2-1)</f>
        <v/>
      </c>
      <c r="BL21" s="53">
        <f>1/(1+$AM21)^(3-1)</f>
        <v/>
      </c>
      <c r="BM21" s="53">
        <f>1/(1+$AM21)^(4-1)</f>
        <v/>
      </c>
      <c r="BN21" s="53">
        <f>1/(1+$AM21)^(5-1)</f>
        <v/>
      </c>
      <c r="BO21" s="53">
        <f>1/(1+$AM21)^1</f>
        <v/>
      </c>
      <c r="BP21" s="53">
        <f>1/(1+$AM21)^2</f>
        <v/>
      </c>
      <c r="BQ21" s="53">
        <f>1/(1+$AM21)^3</f>
        <v/>
      </c>
      <c r="BR21" s="53">
        <f>1/(1+$AM21)^4</f>
        <v/>
      </c>
      <c r="BS21" s="53">
        <f>1/(1+$AM21)^5</f>
        <v/>
      </c>
      <c r="BT21" s="43">
        <f>IF(AND($I21="Direct monthly estimate",$J21&gt;0),$J21,$D21*$K21*$L21)</f>
        <v/>
      </c>
      <c r="BU21" s="43">
        <f>$BT21*$B21*12*(1+$N21)^(1-1)</f>
        <v/>
      </c>
      <c r="BV21" s="43">
        <f>$BT21*$B21*12*(1+$N21)^(2-1)</f>
        <v/>
      </c>
      <c r="BW21" s="43">
        <f>$BT21*$B21*12*(1+$N21)^(3-1)</f>
        <v/>
      </c>
      <c r="BX21" s="43">
        <f>$BT21*$B21*12*(1+$N21)^(4-1)</f>
        <v/>
      </c>
      <c r="BY21" s="43">
        <f>$BT21*$B21*12*(1+$N21)^(5-1)</f>
        <v/>
      </c>
      <c r="BZ21" s="43">
        <f>$BU21/31536000*$M21</f>
        <v/>
      </c>
      <c r="CA21" s="43">
        <f>$BV21/31536000*$M21</f>
        <v/>
      </c>
      <c r="CB21" s="43">
        <f>$BW21/31536000*$M21</f>
        <v/>
      </c>
      <c r="CC21" s="43">
        <f>$BX21/31536000*$M21</f>
        <v/>
      </c>
      <c r="CD21" s="43">
        <f>$BY21/31536000*$M21</f>
        <v/>
      </c>
      <c r="CE21" s="43">
        <f>$BZ21*$AI21</f>
        <v/>
      </c>
      <c r="CF21" s="43">
        <f>$CA21*$AI21</f>
        <v/>
      </c>
      <c r="CG21" s="43">
        <f>$CB21*$AI21</f>
        <v/>
      </c>
      <c r="CH21" s="43">
        <f>$CC21*$AI21</f>
        <v/>
      </c>
      <c r="CI21" s="43">
        <f>$CD21*$AI21</f>
        <v/>
      </c>
      <c r="CJ21" s="44">
        <f>$O21*(1-$Q21)*(1-$P21)^(1-1)</f>
        <v/>
      </c>
      <c r="CK21" s="44">
        <f>$O21*(1-$Q21)*(1-$P21)^(2-1)</f>
        <v/>
      </c>
      <c r="CL21" s="44">
        <f>$O21*(1-$Q21)*(1-$P21)^(3-1)</f>
        <v/>
      </c>
      <c r="CM21" s="44">
        <f>$O21*(1-$Q21)*(1-$P21)^(4-1)</f>
        <v/>
      </c>
      <c r="CN21" s="44">
        <f>$O21*(1-$Q21)*(1-$P21)^(5-1)</f>
        <v/>
      </c>
      <c r="CO21" s="45">
        <f>$BU21/1000000*$CJ21</f>
        <v/>
      </c>
      <c r="CP21" s="45">
        <f>$BV21/1000000*$CK21</f>
        <v/>
      </c>
      <c r="CQ21" s="45">
        <f>$BW21/1000000*$CL21</f>
        <v/>
      </c>
      <c r="CR21" s="45">
        <f>$BX21/1000000*$CM21</f>
        <v/>
      </c>
      <c r="CS21" s="45">
        <f>$BY21/1000000*$CN21</f>
        <v/>
      </c>
      <c r="CT21" s="45">
        <f>($T21*$U21+$S21)*$BE21</f>
        <v/>
      </c>
      <c r="CU21" s="45">
        <f>($T21*$U21+$S21)*$BF21</f>
        <v/>
      </c>
      <c r="CV21" s="45">
        <f>($T21*$U21+$S21)*$BG21</f>
        <v/>
      </c>
      <c r="CW21" s="45">
        <f>($T21*$U21+$S21)*$BH21</f>
        <v/>
      </c>
      <c r="CX21" s="45">
        <f>($T21*$U21+$S21)*$BI21</f>
        <v/>
      </c>
      <c r="CY21" s="45">
        <f>IF(1=1,$R21,0)</f>
        <v/>
      </c>
      <c r="CZ21" s="45">
        <f>IF(2=1,$R21,0)</f>
        <v/>
      </c>
      <c r="DA21" s="45">
        <f>IF(3=1,$R21,0)</f>
        <v/>
      </c>
      <c r="DB21" s="45">
        <f>IF(4=1,$R21,0)</f>
        <v/>
      </c>
      <c r="DC21" s="45">
        <f>IF(5=1,$R21,0)</f>
        <v/>
      </c>
      <c r="DD21" s="45">
        <f>$CO21+$CT21+$CY21</f>
        <v/>
      </c>
      <c r="DE21" s="45">
        <f>$CP21+$CU21+$CZ21</f>
        <v/>
      </c>
      <c r="DF21" s="45">
        <f>$CQ21+$CV21+$DA21</f>
        <v/>
      </c>
      <c r="DG21" s="45">
        <f>$CR21+$CW21+$DB21</f>
        <v/>
      </c>
      <c r="DH21" s="45">
        <f>$CS21+$CX21+$DC21</f>
        <v/>
      </c>
      <c r="DI21" s="45">
        <f>$CY21</f>
        <v/>
      </c>
      <c r="DJ21" s="45">
        <f>$CZ21</f>
        <v/>
      </c>
      <c r="DK21" s="45">
        <f>$DA21</f>
        <v/>
      </c>
      <c r="DL21" s="45">
        <f>$DB21</f>
        <v/>
      </c>
      <c r="DM21" s="45">
        <f>$DC21</f>
        <v/>
      </c>
      <c r="DN21" s="45">
        <f>$CO21+$CT21</f>
        <v/>
      </c>
      <c r="DO21" s="45">
        <f>$CP21+$CU21</f>
        <v/>
      </c>
      <c r="DP21" s="45">
        <f>$CQ21+$CV21</f>
        <v/>
      </c>
      <c r="DQ21" s="45">
        <f>$CR21+$CW21</f>
        <v/>
      </c>
      <c r="DR21" s="45">
        <f>$CS21+$CX21</f>
        <v/>
      </c>
      <c r="DS21" s="45">
        <f>0</f>
        <v/>
      </c>
      <c r="DT21" s="45">
        <f>SUMPRODUCT($AZ21:$BD21,$DD21:$DH21)</f>
        <v/>
      </c>
      <c r="DU21" s="45">
        <f>SUM($DD21:$DF21)</f>
        <v/>
      </c>
      <c r="DV21" s="45">
        <f>SUM($DD21:$DH21)</f>
        <v/>
      </c>
      <c r="DW21" s="45">
        <f>SUMPRODUCT($AZ21:$BD21,$DI21:$DM21,$BJ21:$BN21)+SUMPRODUCT($AZ21:$BD21,$DN21:$DR21,$BO21:$BS21)-$DS21/(1+$AM21)^$AX21</f>
        <v/>
      </c>
      <c r="DX21" s="43">
        <f>IF($CE21&gt;0,ROUNDUP($CE21/$AP21,0),0)</f>
        <v/>
      </c>
      <c r="DY21" s="43">
        <f>IF($CF21&gt;0,ROUNDUP($CF21/$AP21,0),0)</f>
        <v/>
      </c>
      <c r="DZ21" s="43">
        <f>IF($CG21&gt;0,ROUNDUP($CG21/$AP21,0),0)</f>
        <v/>
      </c>
      <c r="EA21" s="43">
        <f>IF($CH21&gt;0,ROUNDUP($CH21/$AP21,0),0)</f>
        <v/>
      </c>
      <c r="EB21" s="43">
        <f>IF($CI21&gt;0,ROUNDUP($CI21/$AP21,0),0)</f>
        <v/>
      </c>
      <c r="EC21" s="43">
        <f>MAX($DX21,0)</f>
        <v/>
      </c>
      <c r="ED21" s="43">
        <f>MAX($DY21,$EC21)</f>
        <v/>
      </c>
      <c r="EE21" s="43">
        <f>MAX($DZ21,$ED21)</f>
        <v/>
      </c>
      <c r="EF21" s="43">
        <f>MAX($EA21,$EE21)</f>
        <v/>
      </c>
      <c r="EG21" s="43">
        <f>MAX($EB21,$EF21)</f>
        <v/>
      </c>
      <c r="EH21" s="43">
        <f>$EC21-0</f>
        <v/>
      </c>
      <c r="EI21" s="43">
        <f>$ED21-$EC21</f>
        <v/>
      </c>
      <c r="EJ21" s="43">
        <f>$EE21-$ED21</f>
        <v/>
      </c>
      <c r="EK21" s="43">
        <f>$EF21-$EE21</f>
        <v/>
      </c>
      <c r="EL21" s="43">
        <f>$EG21-$EF21</f>
        <v/>
      </c>
      <c r="EM21" s="43">
        <f>0</f>
        <v/>
      </c>
      <c r="EN21" s="43">
        <f>(1+$AY21=2)*$ER21</f>
        <v/>
      </c>
      <c r="EO21" s="43">
        <f>(1+$AY21=3)*$ER21+(2+$AY21=3)*$ES21</f>
        <v/>
      </c>
      <c r="EP21" s="43">
        <f>(1+$AY21=4)*$ER21+(2+$AY21=4)*$ES21+(3+$AY21=4)*$ET21</f>
        <v/>
      </c>
      <c r="EQ21" s="43">
        <f>(1+$AY21=5)*$ER21+(2+$AY21=5)*$ES21+(3+$AY21=5)*$ET21+(4+$AY21=5)*$EU21</f>
        <v/>
      </c>
      <c r="ER21" s="43">
        <f>$EH21+$EM21</f>
        <v/>
      </c>
      <c r="ES21" s="43">
        <f>$EI21+$EN21</f>
        <v/>
      </c>
      <c r="ET21" s="43">
        <f>$EJ21+$EO21</f>
        <v/>
      </c>
      <c r="EU21" s="43">
        <f>$EK21+$EP21</f>
        <v/>
      </c>
      <c r="EV21" s="43">
        <f>$EL21+$EQ21</f>
        <v/>
      </c>
      <c r="EW21" s="45">
        <f>$ER21*$V21</f>
        <v/>
      </c>
      <c r="EX21" s="45">
        <f>$ES21*$V21</f>
        <v/>
      </c>
      <c r="EY21" s="45">
        <f>$ET21*$V21</f>
        <v/>
      </c>
      <c r="EZ21" s="45">
        <f>$EU21*$V21</f>
        <v/>
      </c>
      <c r="FA21" s="45">
        <f>$EV21*$V21</f>
        <v/>
      </c>
      <c r="FB21" s="45">
        <f>$EM21*$V21*$X21</f>
        <v/>
      </c>
      <c r="FC21" s="45">
        <f>$EN21*$V21*$X21</f>
        <v/>
      </c>
      <c r="FD21" s="45">
        <f>$EO21*$V21*$X21</f>
        <v/>
      </c>
      <c r="FE21" s="45">
        <f>$EP21*$V21*$X21</f>
        <v/>
      </c>
      <c r="FF21" s="45">
        <f>$EQ21*$V21*$X21</f>
        <v/>
      </c>
      <c r="FG21" s="45">
        <f>$EC21*$V21*(1-$X21)/$AY21</f>
        <v/>
      </c>
      <c r="FH21" s="45">
        <f>$ED21*$V21*(1-$X21)/$AY21</f>
        <v/>
      </c>
      <c r="FI21" s="45">
        <f>$EE21*$V21*(1-$X21)/$AY21</f>
        <v/>
      </c>
      <c r="FJ21" s="45">
        <f>$EF21*$V21*(1-$X21)/$AY21</f>
        <v/>
      </c>
      <c r="FK21" s="45">
        <f>$EG21*$V21*(1-$X21)/$AY21</f>
        <v/>
      </c>
      <c r="FL21" s="45">
        <f>$EC21*$Y21*$Z21*$AA21*8760*$BE21</f>
        <v/>
      </c>
      <c r="FM21" s="45">
        <f>$ED21*$Y21*$Z21*$AA21*8760*$BF21</f>
        <v/>
      </c>
      <c r="FN21" s="45">
        <f>$EE21*$Y21*$Z21*$AA21*8760*$BG21</f>
        <v/>
      </c>
      <c r="FO21" s="45">
        <f>$EF21*$Y21*$Z21*$AA21*8760*$BH21</f>
        <v/>
      </c>
      <c r="FP21" s="45">
        <f>$EG21*$Y21*$Z21*$AA21*8760*$BI21</f>
        <v/>
      </c>
      <c r="FQ21" s="45">
        <f>IF($AC21&gt;0,$AC21,$EC21*$Y21*$AB21*12)*$BE21</f>
        <v/>
      </c>
      <c r="FR21" s="45">
        <f>IF($AC21&gt;0,$AC21,$ED21*$Y21*$AB21*12)*$BF21</f>
        <v/>
      </c>
      <c r="FS21" s="45">
        <f>IF($AC21&gt;0,$AC21,$EE21*$Y21*$AB21*12)*$BG21</f>
        <v/>
      </c>
      <c r="FT21" s="45">
        <f>IF($AC21&gt;0,$AC21,$EF21*$Y21*$AB21*12)*$BH21</f>
        <v/>
      </c>
      <c r="FU21" s="45">
        <f>IF($AC21&gt;0,$AC21,$EG21*$Y21*$AB21*12)*$BI21</f>
        <v/>
      </c>
      <c r="FV21" s="45">
        <f>$EC21*$V21*$AD21*$BE21</f>
        <v/>
      </c>
      <c r="FW21" s="45">
        <f>$ED21*$V21*$AD21*$BF21</f>
        <v/>
      </c>
      <c r="FX21" s="45">
        <f>$EE21*$V21*$AD21*$BG21</f>
        <v/>
      </c>
      <c r="FY21" s="45">
        <f>$EF21*$V21*$AD21*$BH21</f>
        <v/>
      </c>
      <c r="FZ21" s="45">
        <f>$EG21*$V21*$AD21*$BI21</f>
        <v/>
      </c>
      <c r="GA21" s="45">
        <f>$AE21*$BE21</f>
        <v/>
      </c>
      <c r="GB21" s="45">
        <f>$AE21*$BF21</f>
        <v/>
      </c>
      <c r="GC21" s="45">
        <f>$AE21*$BG21</f>
        <v/>
      </c>
      <c r="GD21" s="45">
        <f>$AE21*$BH21</f>
        <v/>
      </c>
      <c r="GE21" s="45">
        <f>$AE21*$BI21</f>
        <v/>
      </c>
      <c r="GF21" s="45">
        <f>$AF21*$AG21*$BE21</f>
        <v/>
      </c>
      <c r="GG21" s="45">
        <f>$AF21*$AG21*$BF21</f>
        <v/>
      </c>
      <c r="GH21" s="45">
        <f>$AF21*$AG21*$BG21</f>
        <v/>
      </c>
      <c r="GI21" s="45">
        <f>$AF21*$AG21*$BH21</f>
        <v/>
      </c>
      <c r="GJ21" s="45">
        <f>$AF21*$AG21*$BI21</f>
        <v/>
      </c>
      <c r="GK21" s="45">
        <f>IF(1=1,$AH21,0)</f>
        <v/>
      </c>
      <c r="GL21" s="45">
        <f>IF(2=1,$AH21,0)</f>
        <v/>
      </c>
      <c r="GM21" s="45">
        <f>IF(3=1,$AH21,0)</f>
        <v/>
      </c>
      <c r="GN21" s="45">
        <f>IF(4=1,$AH21,0)</f>
        <v/>
      </c>
      <c r="GO21" s="45">
        <f>IF(5=1,$AH21,0)</f>
        <v/>
      </c>
      <c r="GP21" s="45">
        <f>$FG21+$FL21+$FQ21+$FV21+$GA21+$GF21+$GK21</f>
        <v/>
      </c>
      <c r="GQ21" s="45">
        <f>$FH21+$FM21+$FR21+$FW21+$GB21+$GG21+$GL21</f>
        <v/>
      </c>
      <c r="GR21" s="45">
        <f>$FI21+$FN21+$FS21+$FX21+$GC21+$GH21+$GM21</f>
        <v/>
      </c>
      <c r="GS21" s="45">
        <f>$FJ21+$FO21+$FT21+$FY21+$GD21+$GI21+$GN21</f>
        <v/>
      </c>
      <c r="GT21" s="45">
        <f>$FK21+$FP21+$FU21+$FZ21+$GE21+$GJ21+$GO21</f>
        <v/>
      </c>
      <c r="GU21" s="45">
        <f>$EW21-$FB21+$GK21</f>
        <v/>
      </c>
      <c r="GV21" s="45">
        <f>$EX21-$FC21+$GL21</f>
        <v/>
      </c>
      <c r="GW21" s="45">
        <f>$EY21-$FD21+$GM21</f>
        <v/>
      </c>
      <c r="GX21" s="45">
        <f>$EZ21-$FE21+$GN21</f>
        <v/>
      </c>
      <c r="GY21" s="45">
        <f>$FA21-$FF21+$GO21</f>
        <v/>
      </c>
      <c r="GZ21" s="45">
        <f>$FL21+$FQ21+$FV21+$GA21+$GF21</f>
        <v/>
      </c>
      <c r="HA21" s="45">
        <f>$FM21+$FR21+$FW21+$GB21+$GG21</f>
        <v/>
      </c>
      <c r="HB21" s="45">
        <f>$FN21+$FS21+$FX21+$GC21+$GH21</f>
        <v/>
      </c>
      <c r="HC21" s="45">
        <f>$FO21+$FT21+$FY21+$GD21+$GI21</f>
        <v/>
      </c>
      <c r="HD21" s="45">
        <f>$FP21+$FU21+$FZ21+$GE21+$GJ21</f>
        <v/>
      </c>
      <c r="HE21" s="45">
        <f>((1&lt;=$AX21)*(1&gt;$AX21-$AY21))*$ER21*$V21*MAX(0,1-(1-$X21)*($AX21-1+1)/$AY21)+((2&lt;=$AX21)*(2&gt;$AX21-$AY21))*$ES21*$V21*MAX(0,1-(1-$X21)*($AX21-2+1)/$AY21)+((3&lt;=$AX21)*(3&gt;$AX21-$AY21))*$ET21*$V21*MAX(0,1-(1-$X21)*($AX21-3+1)/$AY21)+((4&lt;=$AX21)*(4&gt;$AX21-$AY21))*$EU21*$V21*MAX(0,1-(1-$X21)*($AX21-4+1)/$AY21)+((5&lt;=$AX21)*(5&gt;$AX21-$AY21))*$EV21*$V21*MAX(0,1-(1-$X21)*($AX21-5+1)/$AY21)</f>
        <v/>
      </c>
      <c r="HF21" s="45">
        <f>SUMPRODUCT($AZ21:$BD21,$GP21:$GT21)</f>
        <v/>
      </c>
      <c r="HG21" s="45">
        <f>SUM($GP21:$GR21)</f>
        <v/>
      </c>
      <c r="HH21" s="45">
        <f>SUM($GP21:$GT21)</f>
        <v/>
      </c>
      <c r="HI21" s="45">
        <f>SUMPRODUCT($AZ21:$BD21,$GU21:$GY21,$BJ21:$BN21)+SUMPRODUCT($AZ21:$BD21,$GZ21:$HD21,$BO21:$BS21)-$HE21/(1+$AM21)^$AX21</f>
        <v/>
      </c>
      <c r="HJ21" s="46">
        <f>MIN(1,MAX(0,IF(ISNUMBER($AJ21),$AJ21,IF($F21+$G21+$H21&gt;0,($G21+$H21)/($F21+$G21+$H21),0))*$AR21))</f>
        <v/>
      </c>
      <c r="HK21" s="25">
        <f>IF($HJ21&gt;0,1,0)</f>
        <v/>
      </c>
      <c r="HL21" s="25">
        <f>IF($HJ21&lt;1,1,0)</f>
        <v/>
      </c>
      <c r="HM21" s="43">
        <f>IF($CE21*$HJ21&gt;0,ROUNDUP($CE21*$HJ21/$AP21,0),0)</f>
        <v/>
      </c>
      <c r="HN21" s="43">
        <f>IF($CF21*$HJ21&gt;0,ROUNDUP($CF21*$HJ21/$AP21,0),0)</f>
        <v/>
      </c>
      <c r="HO21" s="43">
        <f>IF($CG21*$HJ21&gt;0,ROUNDUP($CG21*$HJ21/$AP21,0),0)</f>
        <v/>
      </c>
      <c r="HP21" s="43">
        <f>IF($CH21*$HJ21&gt;0,ROUNDUP($CH21*$HJ21/$AP21,0),0)</f>
        <v/>
      </c>
      <c r="HQ21" s="43">
        <f>IF($CI21*$HJ21&gt;0,ROUNDUP($CI21*$HJ21/$AP21,0),0)</f>
        <v/>
      </c>
      <c r="HR21" s="43">
        <f>MAX($HM21,0)</f>
        <v/>
      </c>
      <c r="HS21" s="43">
        <f>MAX($HN21,$HR21)</f>
        <v/>
      </c>
      <c r="HT21" s="43">
        <f>MAX($HO21,$HS21)</f>
        <v/>
      </c>
      <c r="HU21" s="43">
        <f>MAX($HP21,$HT21)</f>
        <v/>
      </c>
      <c r="HV21" s="43">
        <f>MAX($HQ21,$HU21)</f>
        <v/>
      </c>
      <c r="HW21" s="43">
        <f>$HR21-0</f>
        <v/>
      </c>
      <c r="HX21" s="43">
        <f>$HS21-$HR21</f>
        <v/>
      </c>
      <c r="HY21" s="43">
        <f>$HT21-$HS21</f>
        <v/>
      </c>
      <c r="HZ21" s="43">
        <f>$HU21-$HT21</f>
        <v/>
      </c>
      <c r="IA21" s="43">
        <f>$HV21-$HU21</f>
        <v/>
      </c>
      <c r="IB21" s="43">
        <f>0</f>
        <v/>
      </c>
      <c r="IC21" s="43">
        <f>(1+$AY21=2)*$IG21</f>
        <v/>
      </c>
      <c r="ID21" s="43">
        <f>(1+$AY21=3)*$IG21+(2+$AY21=3)*$IH21</f>
        <v/>
      </c>
      <c r="IE21" s="43">
        <f>(1+$AY21=4)*$IG21+(2+$AY21=4)*$IH21+(3+$AY21=4)*$II21</f>
        <v/>
      </c>
      <c r="IF21" s="43">
        <f>(1+$AY21=5)*$IG21+(2+$AY21=5)*$IH21+(3+$AY21=5)*$II21+(4+$AY21=5)*$IJ21</f>
        <v/>
      </c>
      <c r="IG21" s="43">
        <f>$HW21+$IB21</f>
        <v/>
      </c>
      <c r="IH21" s="43">
        <f>$HX21+$IC21</f>
        <v/>
      </c>
      <c r="II21" s="43">
        <f>$HY21+$ID21</f>
        <v/>
      </c>
      <c r="IJ21" s="43">
        <f>$HZ21+$IE21</f>
        <v/>
      </c>
      <c r="IK21" s="43">
        <f>$IA21+$IF21</f>
        <v/>
      </c>
      <c r="IL21" s="45">
        <f>$IG21*$V21</f>
        <v/>
      </c>
      <c r="IM21" s="45">
        <f>$IH21*$V21</f>
        <v/>
      </c>
      <c r="IN21" s="45">
        <f>$II21*$V21</f>
        <v/>
      </c>
      <c r="IO21" s="45">
        <f>$IJ21*$V21</f>
        <v/>
      </c>
      <c r="IP21" s="45">
        <f>$IK21*$V21</f>
        <v/>
      </c>
      <c r="IQ21" s="45">
        <f>$IB21*$V21*$X21</f>
        <v/>
      </c>
      <c r="IR21" s="45">
        <f>$IC21*$V21*$X21</f>
        <v/>
      </c>
      <c r="IS21" s="45">
        <f>$ID21*$V21*$X21</f>
        <v/>
      </c>
      <c r="IT21" s="45">
        <f>$IE21*$V21*$X21</f>
        <v/>
      </c>
      <c r="IU21" s="45">
        <f>$IF21*$V21*$X21</f>
        <v/>
      </c>
      <c r="IV21" s="45">
        <f>$HR21*$V21*(1-$X21)/$AY21</f>
        <v/>
      </c>
      <c r="IW21" s="45">
        <f>$HS21*$V21*(1-$X21)/$AY21</f>
        <v/>
      </c>
      <c r="IX21" s="45">
        <f>$HT21*$V21*(1-$X21)/$AY21</f>
        <v/>
      </c>
      <c r="IY21" s="45">
        <f>$HU21*$V21*(1-$X21)/$AY21</f>
        <v/>
      </c>
      <c r="IZ21" s="45">
        <f>$HV21*$V21*(1-$X21)/$AY21</f>
        <v/>
      </c>
      <c r="JA21" s="45">
        <f>$HR21*$Y21*$Z21*$AA21*8760*$BE21</f>
        <v/>
      </c>
      <c r="JB21" s="45">
        <f>$HS21*$Y21*$Z21*$AA21*8760*$BF21</f>
        <v/>
      </c>
      <c r="JC21" s="45">
        <f>$HT21*$Y21*$Z21*$AA21*8760*$BG21</f>
        <v/>
      </c>
      <c r="JD21" s="45">
        <f>$HU21*$Y21*$Z21*$AA21*8760*$BH21</f>
        <v/>
      </c>
      <c r="JE21" s="45">
        <f>$HV21*$Y21*$Z21*$AA21*8760*$BI21</f>
        <v/>
      </c>
      <c r="JF21" s="45">
        <f>IF($AC21&gt;0,$AC21*$HK21,$HR21*$Y21*$AB21*12)*$BE21</f>
        <v/>
      </c>
      <c r="JG21" s="45">
        <f>IF($AC21&gt;0,$AC21*$HK21,$HS21*$Y21*$AB21*12)*$BF21</f>
        <v/>
      </c>
      <c r="JH21" s="45">
        <f>IF($AC21&gt;0,$AC21*$HK21,$HT21*$Y21*$AB21*12)*$BG21</f>
        <v/>
      </c>
      <c r="JI21" s="45">
        <f>IF($AC21&gt;0,$AC21*$HK21,$HU21*$Y21*$AB21*12)*$BH21</f>
        <v/>
      </c>
      <c r="JJ21" s="45">
        <f>IF($AC21&gt;0,$AC21*$HK21,$HV21*$Y21*$AB21*12)*$BI21</f>
        <v/>
      </c>
      <c r="JK21" s="45">
        <f>$HR21*$V21*$AD21*$BE21</f>
        <v/>
      </c>
      <c r="JL21" s="45">
        <f>$HS21*$V21*$AD21*$BF21</f>
        <v/>
      </c>
      <c r="JM21" s="45">
        <f>$HT21*$V21*$AD21*$BG21</f>
        <v/>
      </c>
      <c r="JN21" s="45">
        <f>$HU21*$V21*$AD21*$BH21</f>
        <v/>
      </c>
      <c r="JO21" s="45">
        <f>$HV21*$V21*$AD21*$BI21</f>
        <v/>
      </c>
      <c r="JP21" s="45">
        <f>$AE21*$BE21*$HK21</f>
        <v/>
      </c>
      <c r="JQ21" s="45">
        <f>$AE21*$BF21*$HK21</f>
        <v/>
      </c>
      <c r="JR21" s="45">
        <f>$AE21*$BG21*$HK21</f>
        <v/>
      </c>
      <c r="JS21" s="45">
        <f>$AE21*$BH21*$HK21</f>
        <v/>
      </c>
      <c r="JT21" s="45">
        <f>$AE21*$BI21*$HK21</f>
        <v/>
      </c>
      <c r="JU21" s="45">
        <f>$AQ21*$AG21*$BE21*$HK21</f>
        <v/>
      </c>
      <c r="JV21" s="45">
        <f>$AQ21*$AG21*$BF21*$HK21</f>
        <v/>
      </c>
      <c r="JW21" s="45">
        <f>$AQ21*$AG21*$BG21*$HK21</f>
        <v/>
      </c>
      <c r="JX21" s="45">
        <f>$AQ21*$AG21*$BH21*$HK21</f>
        <v/>
      </c>
      <c r="JY21" s="45">
        <f>$AQ21*$AG21*$BI21*$HK21</f>
        <v/>
      </c>
      <c r="JZ21" s="45">
        <f>$BU21*(1-$HJ21)/1000000*$CJ21</f>
        <v/>
      </c>
      <c r="KA21" s="45">
        <f>$BV21*(1-$HJ21)/1000000*$CK21</f>
        <v/>
      </c>
      <c r="KB21" s="45">
        <f>$BW21*(1-$HJ21)/1000000*$CL21</f>
        <v/>
      </c>
      <c r="KC21" s="45">
        <f>$BX21*(1-$HJ21)/1000000*$CM21</f>
        <v/>
      </c>
      <c r="KD21" s="45">
        <f>$BY21*(1-$HJ21)/1000000*$CN21</f>
        <v/>
      </c>
      <c r="KE21" s="45">
        <f>$CT21*$HL21</f>
        <v/>
      </c>
      <c r="KF21" s="45">
        <f>$CU21*$HL21</f>
        <v/>
      </c>
      <c r="KG21" s="45">
        <f>$CV21*$HL21</f>
        <v/>
      </c>
      <c r="KH21" s="45">
        <f>$CW21*$HL21</f>
        <v/>
      </c>
      <c r="KI21" s="45">
        <f>$CX21*$HL21</f>
        <v/>
      </c>
      <c r="KJ21" s="45">
        <f>IF(1=1,$R21*$HL21+$AH21*$HK21+$AK21,0)</f>
        <v/>
      </c>
      <c r="KK21" s="45">
        <f>IF(2=1,$R21*$HL21+$AH21*$HK21+$AK21,0)</f>
        <v/>
      </c>
      <c r="KL21" s="45">
        <f>IF(3=1,$R21*$HL21+$AH21*$HK21+$AK21,0)</f>
        <v/>
      </c>
      <c r="KM21" s="45">
        <f>IF(4=1,$R21*$HL21+$AH21*$HK21+$AK21,0)</f>
        <v/>
      </c>
      <c r="KN21" s="45">
        <f>IF(5=1,$R21*$HL21+$AH21*$HK21+$AK21,0)</f>
        <v/>
      </c>
      <c r="KO21" s="45">
        <f>$IV21+$JA21+$JF21+$JK21+$JP21+$JU21+$JZ21+$KE21+$KJ21</f>
        <v/>
      </c>
      <c r="KP21" s="45">
        <f>$IW21+$JB21+$JG21+$JL21+$JQ21+$JV21+$KA21+$KF21+$KK21</f>
        <v/>
      </c>
      <c r="KQ21" s="45">
        <f>$IX21+$JC21+$JH21+$JM21+$JR21+$JW21+$KB21+$KG21+$KL21</f>
        <v/>
      </c>
      <c r="KR21" s="45">
        <f>$IY21+$JD21+$JI21+$JN21+$JS21+$JX21+$KC21+$KH21+$KM21</f>
        <v/>
      </c>
      <c r="KS21" s="45">
        <f>$IZ21+$JE21+$JJ21+$JO21+$JT21+$JY21+$KD21+$KI21+$KN21</f>
        <v/>
      </c>
      <c r="KT21" s="45">
        <f>$IL21-$IQ21+$KJ21</f>
        <v/>
      </c>
      <c r="KU21" s="45">
        <f>$IM21-$IR21+$KK21</f>
        <v/>
      </c>
      <c r="KV21" s="45">
        <f>$IN21-$IS21+$KL21</f>
        <v/>
      </c>
      <c r="KW21" s="45">
        <f>$IO21-$IT21+$KM21</f>
        <v/>
      </c>
      <c r="KX21" s="45">
        <f>$IP21-$IU21+$KN21</f>
        <v/>
      </c>
      <c r="KY21" s="45">
        <f>$JA21+$JF21+$JK21+$JP21+$JU21+$JZ21+$KE21</f>
        <v/>
      </c>
      <c r="KZ21" s="45">
        <f>$JB21+$JG21+$JL21+$JQ21+$JV21+$KA21+$KF21</f>
        <v/>
      </c>
      <c r="LA21" s="45">
        <f>$JC21+$JH21+$JM21+$JR21+$JW21+$KB21+$KG21</f>
        <v/>
      </c>
      <c r="LB21" s="45">
        <f>$JD21+$JI21+$JN21+$JS21+$JX21+$KC21+$KH21</f>
        <v/>
      </c>
      <c r="LC21" s="45">
        <f>$JE21+$JJ21+$JO21+$JT21+$JY21+$KD21+$KI21</f>
        <v/>
      </c>
      <c r="LD21" s="45">
        <f>((1&lt;=$AX21)*(1&gt;$AX21-$AY21))*$IG21*$V21*MAX(0,1-(1-$X21)*($AX21-1+1)/$AY21)+((2&lt;=$AX21)*(2&gt;$AX21-$AY21))*$IH21*$V21*MAX(0,1-(1-$X21)*($AX21-2+1)/$AY21)+((3&lt;=$AX21)*(3&gt;$AX21-$AY21))*$II21*$V21*MAX(0,1-(1-$X21)*($AX21-3+1)/$AY21)+((4&lt;=$AX21)*(4&gt;$AX21-$AY21))*$IJ21*$V21*MAX(0,1-(1-$X21)*($AX21-4+1)/$AY21)+((5&lt;=$AX21)*(5&gt;$AX21-$AY21))*$IK21*$V21*MAX(0,1-(1-$X21)*($AX21-5+1)/$AY21)</f>
        <v/>
      </c>
      <c r="LE21" s="45">
        <f>SUMPRODUCT($AZ21:$BD21,$KO21:$KS21)</f>
        <v/>
      </c>
      <c r="LF21" s="45">
        <f>SUM($KO21:$KQ21)</f>
        <v/>
      </c>
      <c r="LG21" s="45">
        <f>SUM($KO21:$KS21)</f>
        <v/>
      </c>
      <c r="LH21" s="45">
        <f>SUMPRODUCT($AZ21:$BD21,$KT21:$KX21,$BJ21:$BN21)+SUMPRODUCT($AZ21:$BD21,$KY21:$LC21,$BO21:$BS21)-$LD21/(1+$AM21)^$AX21</f>
        <v/>
      </c>
      <c r="LI21" s="43">
        <f>$BU21/1000000</f>
        <v/>
      </c>
      <c r="LJ21" s="44">
        <f>IF($LI21&gt;0,$DD21/$LI21,0)</f>
        <v/>
      </c>
      <c r="LK21" s="44">
        <f>IF($LI21&gt;0,$GP21/$LI21,0)</f>
        <v/>
      </c>
      <c r="LL21" s="44">
        <f>IF($LI21&gt;0,$KO21/$LI21,0)</f>
        <v/>
      </c>
      <c r="LM21" s="43">
        <f>$AP21*31536000/1000000</f>
        <v/>
      </c>
      <c r="LN21" s="43">
        <f>$EC21*$LM21</f>
        <v/>
      </c>
      <c r="LO21" s="45">
        <f>$FG21+$FL21+$FQ21+$FV21+$GA21+$GF21</f>
        <v/>
      </c>
      <c r="LP21" s="46">
        <f>IF($LN21*$CJ21&gt;0,MAX(0,($LO21-$CT21)/($LN21*$CJ21)),0)</f>
        <v/>
      </c>
      <c r="LQ21" s="46">
        <f>IF($LN21&gt;0,$LI21/$LN21,0)</f>
        <v/>
      </c>
      <c r="LR21" s="46">
        <f>1/($M21*$AI21)</f>
        <v/>
      </c>
      <c r="LS21" s="43">
        <f>$HR21*$LM21</f>
        <v/>
      </c>
      <c r="LT21" s="45">
        <f>$IV21+$JA21+$JF21+$JK21+$JP21+$JU21</f>
        <v/>
      </c>
      <c r="LU21" s="46">
        <f>IF($LS21*$CJ21&gt;0,$LT21/($LS21*$CJ21),0)</f>
        <v/>
      </c>
      <c r="LV21" s="46">
        <f>IF($LS21&gt;0,$LI21*$HJ21/$LS21,0)</f>
        <v/>
      </c>
      <c r="LW21" s="45">
        <f>$V21*(1-$X21)/$AY21+$Y21*$Z21*$AA21*8760+IF($AC21&gt;0,0,$Y21*$AB21*12)+$V21*$AD21</f>
        <v/>
      </c>
      <c r="LX21" s="46">
        <f>IF($LM21*$CJ21&gt;0,$LW21/($LM21*$CJ21),0)</f>
        <v/>
      </c>
      <c r="LY21" s="44">
        <f>IF($LM21*$LR21&gt;0,$LW21/($LM21*$LR21),0)</f>
        <v/>
      </c>
      <c r="LZ21" s="45">
        <f>$AE21+$AF21*$AG21+IF($AC21&gt;0,$AC21,0)-$CT21</f>
        <v/>
      </c>
      <c r="MA21" s="43">
        <f>IF($CJ21&gt;$LY21,MAX(0,$LZ21)/($CJ21-$LY21)*1000000,"Not reachable")</f>
        <v/>
      </c>
      <c r="MB21" s="47">
        <f>IF(AND(ISNUMBER($MA21),$BU21&gt;0),$MA21/$BU21,"n/a")</f>
        <v/>
      </c>
      <c r="MC21" s="47">
        <f>$B21*MAX(0,$D21-1)*$E21</f>
        <v/>
      </c>
      <c r="MD21" s="45">
        <f>$MC21*$C21</f>
        <v/>
      </c>
      <c r="ME21" s="45">
        <f>$MD21*SUMPRODUCT($AZ21:$BD21,$BO21:$BS21)</f>
        <v/>
      </c>
      <c r="MF21" s="45">
        <f>IF($AO21="Yes",$ME21-$DW21,0)</f>
        <v/>
      </c>
      <c r="MG21" s="45">
        <f>IF($AO21="Yes",$ME21-$HI21,0)</f>
        <v/>
      </c>
      <c r="MH21" s="45">
        <f>IF($AO21="Yes",$ME21-$LH21,0)</f>
        <v/>
      </c>
      <c r="MI21" s="45">
        <f>IF($AO21="Yes",$MD21-$DD21,0)</f>
        <v/>
      </c>
      <c r="MJ21" s="25">
        <f>IF(AND($DW21&lt;=$HI21,$DW21&lt;=$LH21),"Rent the Frontier",IF($HI21&lt;=$LH21,"Own the Frontier","Hybrid"))</f>
        <v/>
      </c>
      <c r="MK21" s="25">
        <f>IF(AND($DT21&lt;=$HF21,$DT21&lt;=$LE21),"Rent the Frontier",IF($HF21&lt;=$LE21,"Own the Frontier","Hybrid"))</f>
        <v/>
      </c>
    </row>
    <row r="22">
      <c r="A22" s="25">
        <f>Sensitivity!A25&amp;" ("&amp;Sensitivity!C25&amp;")"</f>
        <v/>
      </c>
      <c r="B22" s="25">
        <f>Inputs!$B$5</f>
        <v/>
      </c>
      <c r="C22" s="25">
        <f>Inputs!$B$6</f>
        <v/>
      </c>
      <c r="D22" s="25">
        <f>Inputs!$B$7</f>
        <v/>
      </c>
      <c r="E22" s="25">
        <f>Inputs!$B$8</f>
        <v/>
      </c>
      <c r="F22" s="25">
        <f>Inputs!$B$12</f>
        <v/>
      </c>
      <c r="G22" s="25">
        <f>Inputs!$B$13</f>
        <v/>
      </c>
      <c r="H22" s="25">
        <f>Inputs!$B$14</f>
        <v/>
      </c>
      <c r="I22" s="25">
        <f>Inputs!$B$18</f>
        <v/>
      </c>
      <c r="J22" s="25">
        <f>Inputs!$B$19</f>
        <v/>
      </c>
      <c r="K22" s="25">
        <f>Inputs!$B$20</f>
        <v/>
      </c>
      <c r="L22" s="25">
        <f>Inputs!$B$21</f>
        <v/>
      </c>
      <c r="M22" s="25">
        <f>Inputs!$B$22</f>
        <v/>
      </c>
      <c r="N22" s="25">
        <f>Inputs!$B$23</f>
        <v/>
      </c>
      <c r="O22" s="25">
        <f>Inputs!$B$26</f>
        <v/>
      </c>
      <c r="P22" s="25">
        <f>Inputs!$B$27</f>
        <v/>
      </c>
      <c r="Q22" s="25">
        <f>Inputs!$B$28</f>
        <v/>
      </c>
      <c r="R22" s="25">
        <f>Inputs!$B$29</f>
        <v/>
      </c>
      <c r="S22" s="25">
        <f>Inputs!$B$30</f>
        <v/>
      </c>
      <c r="T22" s="25">
        <f>Inputs!$B$31</f>
        <v/>
      </c>
      <c r="U22" s="25">
        <f>Inputs!$B$32</f>
        <v/>
      </c>
      <c r="V22" s="25">
        <f>Inputs!$B$35</f>
        <v/>
      </c>
      <c r="W22" s="25">
        <f>Inputs!$B$36</f>
        <v/>
      </c>
      <c r="X22" s="25">
        <f>Inputs!$B$37</f>
        <v/>
      </c>
      <c r="Y22" s="25">
        <f>Inputs!$B$38</f>
        <v/>
      </c>
      <c r="Z22" s="25">
        <f>Inputs!$B$39</f>
        <v/>
      </c>
      <c r="AA22" s="25">
        <f>Inputs!$B$40</f>
        <v/>
      </c>
      <c r="AB22" s="25">
        <f>Inputs!$B$41</f>
        <v/>
      </c>
      <c r="AC22" s="25">
        <f>Inputs!$B$42</f>
        <v/>
      </c>
      <c r="AD22" s="25">
        <f>Inputs!$B$43</f>
        <v/>
      </c>
      <c r="AE22" s="25">
        <f>Inputs!$B$44</f>
        <v/>
      </c>
      <c r="AF22" s="25">
        <f>Inputs!$B$45</f>
        <v/>
      </c>
      <c r="AG22" s="25">
        <f>Inputs!$B$46</f>
        <v/>
      </c>
      <c r="AH22" s="25">
        <f>Inputs!$B$47</f>
        <v/>
      </c>
      <c r="AI22" s="25">
        <f>Inputs!$B$48</f>
        <v/>
      </c>
      <c r="AJ22" s="25">
        <f>IF(ISNUMBER(Inputs!$B$51),Inputs!$B$51,"")</f>
        <v/>
      </c>
      <c r="AK22" s="25">
        <f>Inputs!$B$52</f>
        <v/>
      </c>
      <c r="AL22" s="25">
        <f>Inputs!$B$55</f>
        <v/>
      </c>
      <c r="AM22" s="25">
        <f>Inputs!$B$56</f>
        <v/>
      </c>
      <c r="AN22" s="25">
        <f>Inputs!$B$57</f>
        <v/>
      </c>
      <c r="AO22" s="25">
        <f>Inputs!$B$58</f>
        <v/>
      </c>
      <c r="AP22" s="25">
        <f>Inputs!$B$61</f>
        <v/>
      </c>
      <c r="AQ22" s="25">
        <f>Inputs!$B$62</f>
        <v/>
      </c>
      <c r="AR22" s="25">
        <f>1*Sensitivity!$D$25</f>
        <v/>
      </c>
      <c r="AS22" s="25" t="n">
        <v>1</v>
      </c>
      <c r="AT22" s="25" t="n">
        <v>2</v>
      </c>
      <c r="AU22" s="25" t="n">
        <v>3</v>
      </c>
      <c r="AV22" s="25" t="n">
        <v>4</v>
      </c>
      <c r="AW22" s="25" t="n">
        <v>5</v>
      </c>
      <c r="AX22" s="25">
        <f>MIN(5,MAX(1,ROUND($AL22,0)))</f>
        <v/>
      </c>
      <c r="AY22" s="25">
        <f>MAX(1,ROUND($W22,0))</f>
        <v/>
      </c>
      <c r="AZ22" s="25">
        <f>IF(1&lt;=$AX22,1,0)</f>
        <v/>
      </c>
      <c r="BA22" s="25">
        <f>IF(2&lt;=$AX22,1,0)</f>
        <v/>
      </c>
      <c r="BB22" s="25">
        <f>IF(3&lt;=$AX22,1,0)</f>
        <v/>
      </c>
      <c r="BC22" s="25">
        <f>IF(4&lt;=$AX22,1,0)</f>
        <v/>
      </c>
      <c r="BD22" s="25">
        <f>IF(5&lt;=$AX22,1,0)</f>
        <v/>
      </c>
      <c r="BE22" s="52">
        <f>(1+$AN22)^(1-1)</f>
        <v/>
      </c>
      <c r="BF22" s="52">
        <f>(1+$AN22)^(2-1)</f>
        <v/>
      </c>
      <c r="BG22" s="52">
        <f>(1+$AN22)^(3-1)</f>
        <v/>
      </c>
      <c r="BH22" s="52">
        <f>(1+$AN22)^(4-1)</f>
        <v/>
      </c>
      <c r="BI22" s="52">
        <f>(1+$AN22)^(5-1)</f>
        <v/>
      </c>
      <c r="BJ22" s="53">
        <f>1/(1+$AM22)^(1-1)</f>
        <v/>
      </c>
      <c r="BK22" s="53">
        <f>1/(1+$AM22)^(2-1)</f>
        <v/>
      </c>
      <c r="BL22" s="53">
        <f>1/(1+$AM22)^(3-1)</f>
        <v/>
      </c>
      <c r="BM22" s="53">
        <f>1/(1+$AM22)^(4-1)</f>
        <v/>
      </c>
      <c r="BN22" s="53">
        <f>1/(1+$AM22)^(5-1)</f>
        <v/>
      </c>
      <c r="BO22" s="53">
        <f>1/(1+$AM22)^1</f>
        <v/>
      </c>
      <c r="BP22" s="53">
        <f>1/(1+$AM22)^2</f>
        <v/>
      </c>
      <c r="BQ22" s="53">
        <f>1/(1+$AM22)^3</f>
        <v/>
      </c>
      <c r="BR22" s="53">
        <f>1/(1+$AM22)^4</f>
        <v/>
      </c>
      <c r="BS22" s="53">
        <f>1/(1+$AM22)^5</f>
        <v/>
      </c>
      <c r="BT22" s="43">
        <f>IF(AND($I22="Direct monthly estimate",$J22&gt;0),$J22,$D22*$K22*$L22)</f>
        <v/>
      </c>
      <c r="BU22" s="43">
        <f>$BT22*$B22*12*(1+$N22)^(1-1)</f>
        <v/>
      </c>
      <c r="BV22" s="43">
        <f>$BT22*$B22*12*(1+$N22)^(2-1)</f>
        <v/>
      </c>
      <c r="BW22" s="43">
        <f>$BT22*$B22*12*(1+$N22)^(3-1)</f>
        <v/>
      </c>
      <c r="BX22" s="43">
        <f>$BT22*$B22*12*(1+$N22)^(4-1)</f>
        <v/>
      </c>
      <c r="BY22" s="43">
        <f>$BT22*$B22*12*(1+$N22)^(5-1)</f>
        <v/>
      </c>
      <c r="BZ22" s="43">
        <f>$BU22/31536000*$M22</f>
        <v/>
      </c>
      <c r="CA22" s="43">
        <f>$BV22/31536000*$M22</f>
        <v/>
      </c>
      <c r="CB22" s="43">
        <f>$BW22/31536000*$M22</f>
        <v/>
      </c>
      <c r="CC22" s="43">
        <f>$BX22/31536000*$M22</f>
        <v/>
      </c>
      <c r="CD22" s="43">
        <f>$BY22/31536000*$M22</f>
        <v/>
      </c>
      <c r="CE22" s="43">
        <f>$BZ22*$AI22</f>
        <v/>
      </c>
      <c r="CF22" s="43">
        <f>$CA22*$AI22</f>
        <v/>
      </c>
      <c r="CG22" s="43">
        <f>$CB22*$AI22</f>
        <v/>
      </c>
      <c r="CH22" s="43">
        <f>$CC22*$AI22</f>
        <v/>
      </c>
      <c r="CI22" s="43">
        <f>$CD22*$AI22</f>
        <v/>
      </c>
      <c r="CJ22" s="44">
        <f>$O22*(1-$Q22)*(1-$P22)^(1-1)</f>
        <v/>
      </c>
      <c r="CK22" s="44">
        <f>$O22*(1-$Q22)*(1-$P22)^(2-1)</f>
        <v/>
      </c>
      <c r="CL22" s="44">
        <f>$O22*(1-$Q22)*(1-$P22)^(3-1)</f>
        <v/>
      </c>
      <c r="CM22" s="44">
        <f>$O22*(1-$Q22)*(1-$P22)^(4-1)</f>
        <v/>
      </c>
      <c r="CN22" s="44">
        <f>$O22*(1-$Q22)*(1-$P22)^(5-1)</f>
        <v/>
      </c>
      <c r="CO22" s="45">
        <f>$BU22/1000000*$CJ22</f>
        <v/>
      </c>
      <c r="CP22" s="45">
        <f>$BV22/1000000*$CK22</f>
        <v/>
      </c>
      <c r="CQ22" s="45">
        <f>$BW22/1000000*$CL22</f>
        <v/>
      </c>
      <c r="CR22" s="45">
        <f>$BX22/1000000*$CM22</f>
        <v/>
      </c>
      <c r="CS22" s="45">
        <f>$BY22/1000000*$CN22</f>
        <v/>
      </c>
      <c r="CT22" s="45">
        <f>($T22*$U22+$S22)*$BE22</f>
        <v/>
      </c>
      <c r="CU22" s="45">
        <f>($T22*$U22+$S22)*$BF22</f>
        <v/>
      </c>
      <c r="CV22" s="45">
        <f>($T22*$U22+$S22)*$BG22</f>
        <v/>
      </c>
      <c r="CW22" s="45">
        <f>($T22*$U22+$S22)*$BH22</f>
        <v/>
      </c>
      <c r="CX22" s="45">
        <f>($T22*$U22+$S22)*$BI22</f>
        <v/>
      </c>
      <c r="CY22" s="45">
        <f>IF(1=1,$R22,0)</f>
        <v/>
      </c>
      <c r="CZ22" s="45">
        <f>IF(2=1,$R22,0)</f>
        <v/>
      </c>
      <c r="DA22" s="45">
        <f>IF(3=1,$R22,0)</f>
        <v/>
      </c>
      <c r="DB22" s="45">
        <f>IF(4=1,$R22,0)</f>
        <v/>
      </c>
      <c r="DC22" s="45">
        <f>IF(5=1,$R22,0)</f>
        <v/>
      </c>
      <c r="DD22" s="45">
        <f>$CO22+$CT22+$CY22</f>
        <v/>
      </c>
      <c r="DE22" s="45">
        <f>$CP22+$CU22+$CZ22</f>
        <v/>
      </c>
      <c r="DF22" s="45">
        <f>$CQ22+$CV22+$DA22</f>
        <v/>
      </c>
      <c r="DG22" s="45">
        <f>$CR22+$CW22+$DB22</f>
        <v/>
      </c>
      <c r="DH22" s="45">
        <f>$CS22+$CX22+$DC22</f>
        <v/>
      </c>
      <c r="DI22" s="45">
        <f>$CY22</f>
        <v/>
      </c>
      <c r="DJ22" s="45">
        <f>$CZ22</f>
        <v/>
      </c>
      <c r="DK22" s="45">
        <f>$DA22</f>
        <v/>
      </c>
      <c r="DL22" s="45">
        <f>$DB22</f>
        <v/>
      </c>
      <c r="DM22" s="45">
        <f>$DC22</f>
        <v/>
      </c>
      <c r="DN22" s="45">
        <f>$CO22+$CT22</f>
        <v/>
      </c>
      <c r="DO22" s="45">
        <f>$CP22+$CU22</f>
        <v/>
      </c>
      <c r="DP22" s="45">
        <f>$CQ22+$CV22</f>
        <v/>
      </c>
      <c r="DQ22" s="45">
        <f>$CR22+$CW22</f>
        <v/>
      </c>
      <c r="DR22" s="45">
        <f>$CS22+$CX22</f>
        <v/>
      </c>
      <c r="DS22" s="45">
        <f>0</f>
        <v/>
      </c>
      <c r="DT22" s="45">
        <f>SUMPRODUCT($AZ22:$BD22,$DD22:$DH22)</f>
        <v/>
      </c>
      <c r="DU22" s="45">
        <f>SUM($DD22:$DF22)</f>
        <v/>
      </c>
      <c r="DV22" s="45">
        <f>SUM($DD22:$DH22)</f>
        <v/>
      </c>
      <c r="DW22" s="45">
        <f>SUMPRODUCT($AZ22:$BD22,$DI22:$DM22,$BJ22:$BN22)+SUMPRODUCT($AZ22:$BD22,$DN22:$DR22,$BO22:$BS22)-$DS22/(1+$AM22)^$AX22</f>
        <v/>
      </c>
      <c r="DX22" s="43">
        <f>IF($CE22&gt;0,ROUNDUP($CE22/$AP22,0),0)</f>
        <v/>
      </c>
      <c r="DY22" s="43">
        <f>IF($CF22&gt;0,ROUNDUP($CF22/$AP22,0),0)</f>
        <v/>
      </c>
      <c r="DZ22" s="43">
        <f>IF($CG22&gt;0,ROUNDUP($CG22/$AP22,0),0)</f>
        <v/>
      </c>
      <c r="EA22" s="43">
        <f>IF($CH22&gt;0,ROUNDUP($CH22/$AP22,0),0)</f>
        <v/>
      </c>
      <c r="EB22" s="43">
        <f>IF($CI22&gt;0,ROUNDUP($CI22/$AP22,0),0)</f>
        <v/>
      </c>
      <c r="EC22" s="43">
        <f>MAX($DX22,0)</f>
        <v/>
      </c>
      <c r="ED22" s="43">
        <f>MAX($DY22,$EC22)</f>
        <v/>
      </c>
      <c r="EE22" s="43">
        <f>MAX($DZ22,$ED22)</f>
        <v/>
      </c>
      <c r="EF22" s="43">
        <f>MAX($EA22,$EE22)</f>
        <v/>
      </c>
      <c r="EG22" s="43">
        <f>MAX($EB22,$EF22)</f>
        <v/>
      </c>
      <c r="EH22" s="43">
        <f>$EC22-0</f>
        <v/>
      </c>
      <c r="EI22" s="43">
        <f>$ED22-$EC22</f>
        <v/>
      </c>
      <c r="EJ22" s="43">
        <f>$EE22-$ED22</f>
        <v/>
      </c>
      <c r="EK22" s="43">
        <f>$EF22-$EE22</f>
        <v/>
      </c>
      <c r="EL22" s="43">
        <f>$EG22-$EF22</f>
        <v/>
      </c>
      <c r="EM22" s="43">
        <f>0</f>
        <v/>
      </c>
      <c r="EN22" s="43">
        <f>(1+$AY22=2)*$ER22</f>
        <v/>
      </c>
      <c r="EO22" s="43">
        <f>(1+$AY22=3)*$ER22+(2+$AY22=3)*$ES22</f>
        <v/>
      </c>
      <c r="EP22" s="43">
        <f>(1+$AY22=4)*$ER22+(2+$AY22=4)*$ES22+(3+$AY22=4)*$ET22</f>
        <v/>
      </c>
      <c r="EQ22" s="43">
        <f>(1+$AY22=5)*$ER22+(2+$AY22=5)*$ES22+(3+$AY22=5)*$ET22+(4+$AY22=5)*$EU22</f>
        <v/>
      </c>
      <c r="ER22" s="43">
        <f>$EH22+$EM22</f>
        <v/>
      </c>
      <c r="ES22" s="43">
        <f>$EI22+$EN22</f>
        <v/>
      </c>
      <c r="ET22" s="43">
        <f>$EJ22+$EO22</f>
        <v/>
      </c>
      <c r="EU22" s="43">
        <f>$EK22+$EP22</f>
        <v/>
      </c>
      <c r="EV22" s="43">
        <f>$EL22+$EQ22</f>
        <v/>
      </c>
      <c r="EW22" s="45">
        <f>$ER22*$V22</f>
        <v/>
      </c>
      <c r="EX22" s="45">
        <f>$ES22*$V22</f>
        <v/>
      </c>
      <c r="EY22" s="45">
        <f>$ET22*$V22</f>
        <v/>
      </c>
      <c r="EZ22" s="45">
        <f>$EU22*$V22</f>
        <v/>
      </c>
      <c r="FA22" s="45">
        <f>$EV22*$V22</f>
        <v/>
      </c>
      <c r="FB22" s="45">
        <f>$EM22*$V22*$X22</f>
        <v/>
      </c>
      <c r="FC22" s="45">
        <f>$EN22*$V22*$X22</f>
        <v/>
      </c>
      <c r="FD22" s="45">
        <f>$EO22*$V22*$X22</f>
        <v/>
      </c>
      <c r="FE22" s="45">
        <f>$EP22*$V22*$X22</f>
        <v/>
      </c>
      <c r="FF22" s="45">
        <f>$EQ22*$V22*$X22</f>
        <v/>
      </c>
      <c r="FG22" s="45">
        <f>$EC22*$V22*(1-$X22)/$AY22</f>
        <v/>
      </c>
      <c r="FH22" s="45">
        <f>$ED22*$V22*(1-$X22)/$AY22</f>
        <v/>
      </c>
      <c r="FI22" s="45">
        <f>$EE22*$V22*(1-$X22)/$AY22</f>
        <v/>
      </c>
      <c r="FJ22" s="45">
        <f>$EF22*$V22*(1-$X22)/$AY22</f>
        <v/>
      </c>
      <c r="FK22" s="45">
        <f>$EG22*$V22*(1-$X22)/$AY22</f>
        <v/>
      </c>
      <c r="FL22" s="45">
        <f>$EC22*$Y22*$Z22*$AA22*8760*$BE22</f>
        <v/>
      </c>
      <c r="FM22" s="45">
        <f>$ED22*$Y22*$Z22*$AA22*8760*$BF22</f>
        <v/>
      </c>
      <c r="FN22" s="45">
        <f>$EE22*$Y22*$Z22*$AA22*8760*$BG22</f>
        <v/>
      </c>
      <c r="FO22" s="45">
        <f>$EF22*$Y22*$Z22*$AA22*8760*$BH22</f>
        <v/>
      </c>
      <c r="FP22" s="45">
        <f>$EG22*$Y22*$Z22*$AA22*8760*$BI22</f>
        <v/>
      </c>
      <c r="FQ22" s="45">
        <f>IF($AC22&gt;0,$AC22,$EC22*$Y22*$AB22*12)*$BE22</f>
        <v/>
      </c>
      <c r="FR22" s="45">
        <f>IF($AC22&gt;0,$AC22,$ED22*$Y22*$AB22*12)*$BF22</f>
        <v/>
      </c>
      <c r="FS22" s="45">
        <f>IF($AC22&gt;0,$AC22,$EE22*$Y22*$AB22*12)*$BG22</f>
        <v/>
      </c>
      <c r="FT22" s="45">
        <f>IF($AC22&gt;0,$AC22,$EF22*$Y22*$AB22*12)*$BH22</f>
        <v/>
      </c>
      <c r="FU22" s="45">
        <f>IF($AC22&gt;0,$AC22,$EG22*$Y22*$AB22*12)*$BI22</f>
        <v/>
      </c>
      <c r="FV22" s="45">
        <f>$EC22*$V22*$AD22*$BE22</f>
        <v/>
      </c>
      <c r="FW22" s="45">
        <f>$ED22*$V22*$AD22*$BF22</f>
        <v/>
      </c>
      <c r="FX22" s="45">
        <f>$EE22*$V22*$AD22*$BG22</f>
        <v/>
      </c>
      <c r="FY22" s="45">
        <f>$EF22*$V22*$AD22*$BH22</f>
        <v/>
      </c>
      <c r="FZ22" s="45">
        <f>$EG22*$V22*$AD22*$BI22</f>
        <v/>
      </c>
      <c r="GA22" s="45">
        <f>$AE22*$BE22</f>
        <v/>
      </c>
      <c r="GB22" s="45">
        <f>$AE22*$BF22</f>
        <v/>
      </c>
      <c r="GC22" s="45">
        <f>$AE22*$BG22</f>
        <v/>
      </c>
      <c r="GD22" s="45">
        <f>$AE22*$BH22</f>
        <v/>
      </c>
      <c r="GE22" s="45">
        <f>$AE22*$BI22</f>
        <v/>
      </c>
      <c r="GF22" s="45">
        <f>$AF22*$AG22*$BE22</f>
        <v/>
      </c>
      <c r="GG22" s="45">
        <f>$AF22*$AG22*$BF22</f>
        <v/>
      </c>
      <c r="GH22" s="45">
        <f>$AF22*$AG22*$BG22</f>
        <v/>
      </c>
      <c r="GI22" s="45">
        <f>$AF22*$AG22*$BH22</f>
        <v/>
      </c>
      <c r="GJ22" s="45">
        <f>$AF22*$AG22*$BI22</f>
        <v/>
      </c>
      <c r="GK22" s="45">
        <f>IF(1=1,$AH22,0)</f>
        <v/>
      </c>
      <c r="GL22" s="45">
        <f>IF(2=1,$AH22,0)</f>
        <v/>
      </c>
      <c r="GM22" s="45">
        <f>IF(3=1,$AH22,0)</f>
        <v/>
      </c>
      <c r="GN22" s="45">
        <f>IF(4=1,$AH22,0)</f>
        <v/>
      </c>
      <c r="GO22" s="45">
        <f>IF(5=1,$AH22,0)</f>
        <v/>
      </c>
      <c r="GP22" s="45">
        <f>$FG22+$FL22+$FQ22+$FV22+$GA22+$GF22+$GK22</f>
        <v/>
      </c>
      <c r="GQ22" s="45">
        <f>$FH22+$FM22+$FR22+$FW22+$GB22+$GG22+$GL22</f>
        <v/>
      </c>
      <c r="GR22" s="45">
        <f>$FI22+$FN22+$FS22+$FX22+$GC22+$GH22+$GM22</f>
        <v/>
      </c>
      <c r="GS22" s="45">
        <f>$FJ22+$FO22+$FT22+$FY22+$GD22+$GI22+$GN22</f>
        <v/>
      </c>
      <c r="GT22" s="45">
        <f>$FK22+$FP22+$FU22+$FZ22+$GE22+$GJ22+$GO22</f>
        <v/>
      </c>
      <c r="GU22" s="45">
        <f>$EW22-$FB22+$GK22</f>
        <v/>
      </c>
      <c r="GV22" s="45">
        <f>$EX22-$FC22+$GL22</f>
        <v/>
      </c>
      <c r="GW22" s="45">
        <f>$EY22-$FD22+$GM22</f>
        <v/>
      </c>
      <c r="GX22" s="45">
        <f>$EZ22-$FE22+$GN22</f>
        <v/>
      </c>
      <c r="GY22" s="45">
        <f>$FA22-$FF22+$GO22</f>
        <v/>
      </c>
      <c r="GZ22" s="45">
        <f>$FL22+$FQ22+$FV22+$GA22+$GF22</f>
        <v/>
      </c>
      <c r="HA22" s="45">
        <f>$FM22+$FR22+$FW22+$GB22+$GG22</f>
        <v/>
      </c>
      <c r="HB22" s="45">
        <f>$FN22+$FS22+$FX22+$GC22+$GH22</f>
        <v/>
      </c>
      <c r="HC22" s="45">
        <f>$FO22+$FT22+$FY22+$GD22+$GI22</f>
        <v/>
      </c>
      <c r="HD22" s="45">
        <f>$FP22+$FU22+$FZ22+$GE22+$GJ22</f>
        <v/>
      </c>
      <c r="HE22" s="45">
        <f>((1&lt;=$AX22)*(1&gt;$AX22-$AY22))*$ER22*$V22*MAX(0,1-(1-$X22)*($AX22-1+1)/$AY22)+((2&lt;=$AX22)*(2&gt;$AX22-$AY22))*$ES22*$V22*MAX(0,1-(1-$X22)*($AX22-2+1)/$AY22)+((3&lt;=$AX22)*(3&gt;$AX22-$AY22))*$ET22*$V22*MAX(0,1-(1-$X22)*($AX22-3+1)/$AY22)+((4&lt;=$AX22)*(4&gt;$AX22-$AY22))*$EU22*$V22*MAX(0,1-(1-$X22)*($AX22-4+1)/$AY22)+((5&lt;=$AX22)*(5&gt;$AX22-$AY22))*$EV22*$V22*MAX(0,1-(1-$X22)*($AX22-5+1)/$AY22)</f>
        <v/>
      </c>
      <c r="HF22" s="45">
        <f>SUMPRODUCT($AZ22:$BD22,$GP22:$GT22)</f>
        <v/>
      </c>
      <c r="HG22" s="45">
        <f>SUM($GP22:$GR22)</f>
        <v/>
      </c>
      <c r="HH22" s="45">
        <f>SUM($GP22:$GT22)</f>
        <v/>
      </c>
      <c r="HI22" s="45">
        <f>SUMPRODUCT($AZ22:$BD22,$GU22:$GY22,$BJ22:$BN22)+SUMPRODUCT($AZ22:$BD22,$GZ22:$HD22,$BO22:$BS22)-$HE22/(1+$AM22)^$AX22</f>
        <v/>
      </c>
      <c r="HJ22" s="46">
        <f>MIN(1,MAX(0,IF(ISNUMBER($AJ22),$AJ22,IF($F22+$G22+$H22&gt;0,($G22+$H22)/($F22+$G22+$H22),0))*$AR22))</f>
        <v/>
      </c>
      <c r="HK22" s="25">
        <f>IF($HJ22&gt;0,1,0)</f>
        <v/>
      </c>
      <c r="HL22" s="25">
        <f>IF($HJ22&lt;1,1,0)</f>
        <v/>
      </c>
      <c r="HM22" s="43">
        <f>IF($CE22*$HJ22&gt;0,ROUNDUP($CE22*$HJ22/$AP22,0),0)</f>
        <v/>
      </c>
      <c r="HN22" s="43">
        <f>IF($CF22*$HJ22&gt;0,ROUNDUP($CF22*$HJ22/$AP22,0),0)</f>
        <v/>
      </c>
      <c r="HO22" s="43">
        <f>IF($CG22*$HJ22&gt;0,ROUNDUP($CG22*$HJ22/$AP22,0),0)</f>
        <v/>
      </c>
      <c r="HP22" s="43">
        <f>IF($CH22*$HJ22&gt;0,ROUNDUP($CH22*$HJ22/$AP22,0),0)</f>
        <v/>
      </c>
      <c r="HQ22" s="43">
        <f>IF($CI22*$HJ22&gt;0,ROUNDUP($CI22*$HJ22/$AP22,0),0)</f>
        <v/>
      </c>
      <c r="HR22" s="43">
        <f>MAX($HM22,0)</f>
        <v/>
      </c>
      <c r="HS22" s="43">
        <f>MAX($HN22,$HR22)</f>
        <v/>
      </c>
      <c r="HT22" s="43">
        <f>MAX($HO22,$HS22)</f>
        <v/>
      </c>
      <c r="HU22" s="43">
        <f>MAX($HP22,$HT22)</f>
        <v/>
      </c>
      <c r="HV22" s="43">
        <f>MAX($HQ22,$HU22)</f>
        <v/>
      </c>
      <c r="HW22" s="43">
        <f>$HR22-0</f>
        <v/>
      </c>
      <c r="HX22" s="43">
        <f>$HS22-$HR22</f>
        <v/>
      </c>
      <c r="HY22" s="43">
        <f>$HT22-$HS22</f>
        <v/>
      </c>
      <c r="HZ22" s="43">
        <f>$HU22-$HT22</f>
        <v/>
      </c>
      <c r="IA22" s="43">
        <f>$HV22-$HU22</f>
        <v/>
      </c>
      <c r="IB22" s="43">
        <f>0</f>
        <v/>
      </c>
      <c r="IC22" s="43">
        <f>(1+$AY22=2)*$IG22</f>
        <v/>
      </c>
      <c r="ID22" s="43">
        <f>(1+$AY22=3)*$IG22+(2+$AY22=3)*$IH22</f>
        <v/>
      </c>
      <c r="IE22" s="43">
        <f>(1+$AY22=4)*$IG22+(2+$AY22=4)*$IH22+(3+$AY22=4)*$II22</f>
        <v/>
      </c>
      <c r="IF22" s="43">
        <f>(1+$AY22=5)*$IG22+(2+$AY22=5)*$IH22+(3+$AY22=5)*$II22+(4+$AY22=5)*$IJ22</f>
        <v/>
      </c>
      <c r="IG22" s="43">
        <f>$HW22+$IB22</f>
        <v/>
      </c>
      <c r="IH22" s="43">
        <f>$HX22+$IC22</f>
        <v/>
      </c>
      <c r="II22" s="43">
        <f>$HY22+$ID22</f>
        <v/>
      </c>
      <c r="IJ22" s="43">
        <f>$HZ22+$IE22</f>
        <v/>
      </c>
      <c r="IK22" s="43">
        <f>$IA22+$IF22</f>
        <v/>
      </c>
      <c r="IL22" s="45">
        <f>$IG22*$V22</f>
        <v/>
      </c>
      <c r="IM22" s="45">
        <f>$IH22*$V22</f>
        <v/>
      </c>
      <c r="IN22" s="45">
        <f>$II22*$V22</f>
        <v/>
      </c>
      <c r="IO22" s="45">
        <f>$IJ22*$V22</f>
        <v/>
      </c>
      <c r="IP22" s="45">
        <f>$IK22*$V22</f>
        <v/>
      </c>
      <c r="IQ22" s="45">
        <f>$IB22*$V22*$X22</f>
        <v/>
      </c>
      <c r="IR22" s="45">
        <f>$IC22*$V22*$X22</f>
        <v/>
      </c>
      <c r="IS22" s="45">
        <f>$ID22*$V22*$X22</f>
        <v/>
      </c>
      <c r="IT22" s="45">
        <f>$IE22*$V22*$X22</f>
        <v/>
      </c>
      <c r="IU22" s="45">
        <f>$IF22*$V22*$X22</f>
        <v/>
      </c>
      <c r="IV22" s="45">
        <f>$HR22*$V22*(1-$X22)/$AY22</f>
        <v/>
      </c>
      <c r="IW22" s="45">
        <f>$HS22*$V22*(1-$X22)/$AY22</f>
        <v/>
      </c>
      <c r="IX22" s="45">
        <f>$HT22*$V22*(1-$X22)/$AY22</f>
        <v/>
      </c>
      <c r="IY22" s="45">
        <f>$HU22*$V22*(1-$X22)/$AY22</f>
        <v/>
      </c>
      <c r="IZ22" s="45">
        <f>$HV22*$V22*(1-$X22)/$AY22</f>
        <v/>
      </c>
      <c r="JA22" s="45">
        <f>$HR22*$Y22*$Z22*$AA22*8760*$BE22</f>
        <v/>
      </c>
      <c r="JB22" s="45">
        <f>$HS22*$Y22*$Z22*$AA22*8760*$BF22</f>
        <v/>
      </c>
      <c r="JC22" s="45">
        <f>$HT22*$Y22*$Z22*$AA22*8760*$BG22</f>
        <v/>
      </c>
      <c r="JD22" s="45">
        <f>$HU22*$Y22*$Z22*$AA22*8760*$BH22</f>
        <v/>
      </c>
      <c r="JE22" s="45">
        <f>$HV22*$Y22*$Z22*$AA22*8760*$BI22</f>
        <v/>
      </c>
      <c r="JF22" s="45">
        <f>IF($AC22&gt;0,$AC22*$HK22,$HR22*$Y22*$AB22*12)*$BE22</f>
        <v/>
      </c>
      <c r="JG22" s="45">
        <f>IF($AC22&gt;0,$AC22*$HK22,$HS22*$Y22*$AB22*12)*$BF22</f>
        <v/>
      </c>
      <c r="JH22" s="45">
        <f>IF($AC22&gt;0,$AC22*$HK22,$HT22*$Y22*$AB22*12)*$BG22</f>
        <v/>
      </c>
      <c r="JI22" s="45">
        <f>IF($AC22&gt;0,$AC22*$HK22,$HU22*$Y22*$AB22*12)*$BH22</f>
        <v/>
      </c>
      <c r="JJ22" s="45">
        <f>IF($AC22&gt;0,$AC22*$HK22,$HV22*$Y22*$AB22*12)*$BI22</f>
        <v/>
      </c>
      <c r="JK22" s="45">
        <f>$HR22*$V22*$AD22*$BE22</f>
        <v/>
      </c>
      <c r="JL22" s="45">
        <f>$HS22*$V22*$AD22*$BF22</f>
        <v/>
      </c>
      <c r="JM22" s="45">
        <f>$HT22*$V22*$AD22*$BG22</f>
        <v/>
      </c>
      <c r="JN22" s="45">
        <f>$HU22*$V22*$AD22*$BH22</f>
        <v/>
      </c>
      <c r="JO22" s="45">
        <f>$HV22*$V22*$AD22*$BI22</f>
        <v/>
      </c>
      <c r="JP22" s="45">
        <f>$AE22*$BE22*$HK22</f>
        <v/>
      </c>
      <c r="JQ22" s="45">
        <f>$AE22*$BF22*$HK22</f>
        <v/>
      </c>
      <c r="JR22" s="45">
        <f>$AE22*$BG22*$HK22</f>
        <v/>
      </c>
      <c r="JS22" s="45">
        <f>$AE22*$BH22*$HK22</f>
        <v/>
      </c>
      <c r="JT22" s="45">
        <f>$AE22*$BI22*$HK22</f>
        <v/>
      </c>
      <c r="JU22" s="45">
        <f>$AQ22*$AG22*$BE22*$HK22</f>
        <v/>
      </c>
      <c r="JV22" s="45">
        <f>$AQ22*$AG22*$BF22*$HK22</f>
        <v/>
      </c>
      <c r="JW22" s="45">
        <f>$AQ22*$AG22*$BG22*$HK22</f>
        <v/>
      </c>
      <c r="JX22" s="45">
        <f>$AQ22*$AG22*$BH22*$HK22</f>
        <v/>
      </c>
      <c r="JY22" s="45">
        <f>$AQ22*$AG22*$BI22*$HK22</f>
        <v/>
      </c>
      <c r="JZ22" s="45">
        <f>$BU22*(1-$HJ22)/1000000*$CJ22</f>
        <v/>
      </c>
      <c r="KA22" s="45">
        <f>$BV22*(1-$HJ22)/1000000*$CK22</f>
        <v/>
      </c>
      <c r="KB22" s="45">
        <f>$BW22*(1-$HJ22)/1000000*$CL22</f>
        <v/>
      </c>
      <c r="KC22" s="45">
        <f>$BX22*(1-$HJ22)/1000000*$CM22</f>
        <v/>
      </c>
      <c r="KD22" s="45">
        <f>$BY22*(1-$HJ22)/1000000*$CN22</f>
        <v/>
      </c>
      <c r="KE22" s="45">
        <f>$CT22*$HL22</f>
        <v/>
      </c>
      <c r="KF22" s="45">
        <f>$CU22*$HL22</f>
        <v/>
      </c>
      <c r="KG22" s="45">
        <f>$CV22*$HL22</f>
        <v/>
      </c>
      <c r="KH22" s="45">
        <f>$CW22*$HL22</f>
        <v/>
      </c>
      <c r="KI22" s="45">
        <f>$CX22*$HL22</f>
        <v/>
      </c>
      <c r="KJ22" s="45">
        <f>IF(1=1,$R22*$HL22+$AH22*$HK22+$AK22,0)</f>
        <v/>
      </c>
      <c r="KK22" s="45">
        <f>IF(2=1,$R22*$HL22+$AH22*$HK22+$AK22,0)</f>
        <v/>
      </c>
      <c r="KL22" s="45">
        <f>IF(3=1,$R22*$HL22+$AH22*$HK22+$AK22,0)</f>
        <v/>
      </c>
      <c r="KM22" s="45">
        <f>IF(4=1,$R22*$HL22+$AH22*$HK22+$AK22,0)</f>
        <v/>
      </c>
      <c r="KN22" s="45">
        <f>IF(5=1,$R22*$HL22+$AH22*$HK22+$AK22,0)</f>
        <v/>
      </c>
      <c r="KO22" s="45">
        <f>$IV22+$JA22+$JF22+$JK22+$JP22+$JU22+$JZ22+$KE22+$KJ22</f>
        <v/>
      </c>
      <c r="KP22" s="45">
        <f>$IW22+$JB22+$JG22+$JL22+$JQ22+$JV22+$KA22+$KF22+$KK22</f>
        <v/>
      </c>
      <c r="KQ22" s="45">
        <f>$IX22+$JC22+$JH22+$JM22+$JR22+$JW22+$KB22+$KG22+$KL22</f>
        <v/>
      </c>
      <c r="KR22" s="45">
        <f>$IY22+$JD22+$JI22+$JN22+$JS22+$JX22+$KC22+$KH22+$KM22</f>
        <v/>
      </c>
      <c r="KS22" s="45">
        <f>$IZ22+$JE22+$JJ22+$JO22+$JT22+$JY22+$KD22+$KI22+$KN22</f>
        <v/>
      </c>
      <c r="KT22" s="45">
        <f>$IL22-$IQ22+$KJ22</f>
        <v/>
      </c>
      <c r="KU22" s="45">
        <f>$IM22-$IR22+$KK22</f>
        <v/>
      </c>
      <c r="KV22" s="45">
        <f>$IN22-$IS22+$KL22</f>
        <v/>
      </c>
      <c r="KW22" s="45">
        <f>$IO22-$IT22+$KM22</f>
        <v/>
      </c>
      <c r="KX22" s="45">
        <f>$IP22-$IU22+$KN22</f>
        <v/>
      </c>
      <c r="KY22" s="45">
        <f>$JA22+$JF22+$JK22+$JP22+$JU22+$JZ22+$KE22</f>
        <v/>
      </c>
      <c r="KZ22" s="45">
        <f>$JB22+$JG22+$JL22+$JQ22+$JV22+$KA22+$KF22</f>
        <v/>
      </c>
      <c r="LA22" s="45">
        <f>$JC22+$JH22+$JM22+$JR22+$JW22+$KB22+$KG22</f>
        <v/>
      </c>
      <c r="LB22" s="45">
        <f>$JD22+$JI22+$JN22+$JS22+$JX22+$KC22+$KH22</f>
        <v/>
      </c>
      <c r="LC22" s="45">
        <f>$JE22+$JJ22+$JO22+$JT22+$JY22+$KD22+$KI22</f>
        <v/>
      </c>
      <c r="LD22" s="45">
        <f>((1&lt;=$AX22)*(1&gt;$AX22-$AY22))*$IG22*$V22*MAX(0,1-(1-$X22)*($AX22-1+1)/$AY22)+((2&lt;=$AX22)*(2&gt;$AX22-$AY22))*$IH22*$V22*MAX(0,1-(1-$X22)*($AX22-2+1)/$AY22)+((3&lt;=$AX22)*(3&gt;$AX22-$AY22))*$II22*$V22*MAX(0,1-(1-$X22)*($AX22-3+1)/$AY22)+((4&lt;=$AX22)*(4&gt;$AX22-$AY22))*$IJ22*$V22*MAX(0,1-(1-$X22)*($AX22-4+1)/$AY22)+((5&lt;=$AX22)*(5&gt;$AX22-$AY22))*$IK22*$V22*MAX(0,1-(1-$X22)*($AX22-5+1)/$AY22)</f>
        <v/>
      </c>
      <c r="LE22" s="45">
        <f>SUMPRODUCT($AZ22:$BD22,$KO22:$KS22)</f>
        <v/>
      </c>
      <c r="LF22" s="45">
        <f>SUM($KO22:$KQ22)</f>
        <v/>
      </c>
      <c r="LG22" s="45">
        <f>SUM($KO22:$KS22)</f>
        <v/>
      </c>
      <c r="LH22" s="45">
        <f>SUMPRODUCT($AZ22:$BD22,$KT22:$KX22,$BJ22:$BN22)+SUMPRODUCT($AZ22:$BD22,$KY22:$LC22,$BO22:$BS22)-$LD22/(1+$AM22)^$AX22</f>
        <v/>
      </c>
      <c r="LI22" s="43">
        <f>$BU22/1000000</f>
        <v/>
      </c>
      <c r="LJ22" s="44">
        <f>IF($LI22&gt;0,$DD22/$LI22,0)</f>
        <v/>
      </c>
      <c r="LK22" s="44">
        <f>IF($LI22&gt;0,$GP22/$LI22,0)</f>
        <v/>
      </c>
      <c r="LL22" s="44">
        <f>IF($LI22&gt;0,$KO22/$LI22,0)</f>
        <v/>
      </c>
      <c r="LM22" s="43">
        <f>$AP22*31536000/1000000</f>
        <v/>
      </c>
      <c r="LN22" s="43">
        <f>$EC22*$LM22</f>
        <v/>
      </c>
      <c r="LO22" s="45">
        <f>$FG22+$FL22+$FQ22+$FV22+$GA22+$GF22</f>
        <v/>
      </c>
      <c r="LP22" s="46">
        <f>IF($LN22*$CJ22&gt;0,MAX(0,($LO22-$CT22)/($LN22*$CJ22)),0)</f>
        <v/>
      </c>
      <c r="LQ22" s="46">
        <f>IF($LN22&gt;0,$LI22/$LN22,0)</f>
        <v/>
      </c>
      <c r="LR22" s="46">
        <f>1/($M22*$AI22)</f>
        <v/>
      </c>
      <c r="LS22" s="43">
        <f>$HR22*$LM22</f>
        <v/>
      </c>
      <c r="LT22" s="45">
        <f>$IV22+$JA22+$JF22+$JK22+$JP22+$JU22</f>
        <v/>
      </c>
      <c r="LU22" s="46">
        <f>IF($LS22*$CJ22&gt;0,$LT22/($LS22*$CJ22),0)</f>
        <v/>
      </c>
      <c r="LV22" s="46">
        <f>IF($LS22&gt;0,$LI22*$HJ22/$LS22,0)</f>
        <v/>
      </c>
      <c r="LW22" s="45">
        <f>$V22*(1-$X22)/$AY22+$Y22*$Z22*$AA22*8760+IF($AC22&gt;0,0,$Y22*$AB22*12)+$V22*$AD22</f>
        <v/>
      </c>
      <c r="LX22" s="46">
        <f>IF($LM22*$CJ22&gt;0,$LW22/($LM22*$CJ22),0)</f>
        <v/>
      </c>
      <c r="LY22" s="44">
        <f>IF($LM22*$LR22&gt;0,$LW22/($LM22*$LR22),0)</f>
        <v/>
      </c>
      <c r="LZ22" s="45">
        <f>$AE22+$AF22*$AG22+IF($AC22&gt;0,$AC22,0)-$CT22</f>
        <v/>
      </c>
      <c r="MA22" s="43">
        <f>IF($CJ22&gt;$LY22,MAX(0,$LZ22)/($CJ22-$LY22)*1000000,"Not reachable")</f>
        <v/>
      </c>
      <c r="MB22" s="47">
        <f>IF(AND(ISNUMBER($MA22),$BU22&gt;0),$MA22/$BU22,"n/a")</f>
        <v/>
      </c>
      <c r="MC22" s="47">
        <f>$B22*MAX(0,$D22-1)*$E22</f>
        <v/>
      </c>
      <c r="MD22" s="45">
        <f>$MC22*$C22</f>
        <v/>
      </c>
      <c r="ME22" s="45">
        <f>$MD22*SUMPRODUCT($AZ22:$BD22,$BO22:$BS22)</f>
        <v/>
      </c>
      <c r="MF22" s="45">
        <f>IF($AO22="Yes",$ME22-$DW22,0)</f>
        <v/>
      </c>
      <c r="MG22" s="45">
        <f>IF($AO22="Yes",$ME22-$HI22,0)</f>
        <v/>
      </c>
      <c r="MH22" s="45">
        <f>IF($AO22="Yes",$ME22-$LH22,0)</f>
        <v/>
      </c>
      <c r="MI22" s="45">
        <f>IF($AO22="Yes",$MD22-$DD22,0)</f>
        <v/>
      </c>
      <c r="MJ22" s="25">
        <f>IF(AND($DW22&lt;=$HI22,$DW22&lt;=$LH22),"Rent the Frontier",IF($HI22&lt;=$LH22,"Own the Frontier","Hybrid"))</f>
        <v/>
      </c>
      <c r="MK22" s="25">
        <f>IF(AND($DT22&lt;=$HF22,$DT22&lt;=$LE22),"Rent the Frontier",IF($HF22&lt;=$LE22,"Own the Frontier","Hybrid"))</f>
        <v/>
      </c>
    </row>
    <row r="23">
      <c r="A23" s="25">
        <f>Sensitivity!A26&amp;" ("&amp;Sensitivity!C26&amp;")"</f>
        <v/>
      </c>
      <c r="B23" s="25">
        <f>Inputs!$B$5</f>
        <v/>
      </c>
      <c r="C23" s="25">
        <f>Inputs!$B$6</f>
        <v/>
      </c>
      <c r="D23" s="25">
        <f>Inputs!$B$7</f>
        <v/>
      </c>
      <c r="E23" s="25">
        <f>Inputs!$B$8</f>
        <v/>
      </c>
      <c r="F23" s="25">
        <f>Inputs!$B$12</f>
        <v/>
      </c>
      <c r="G23" s="25">
        <f>Inputs!$B$13</f>
        <v/>
      </c>
      <c r="H23" s="25">
        <f>Inputs!$B$14</f>
        <v/>
      </c>
      <c r="I23" s="25">
        <f>Inputs!$B$18</f>
        <v/>
      </c>
      <c r="J23" s="25">
        <f>Inputs!$B$19</f>
        <v/>
      </c>
      <c r="K23" s="25">
        <f>Inputs!$B$20</f>
        <v/>
      </c>
      <c r="L23" s="25">
        <f>Inputs!$B$21</f>
        <v/>
      </c>
      <c r="M23" s="25">
        <f>Inputs!$B$22</f>
        <v/>
      </c>
      <c r="N23" s="25">
        <f>Inputs!$B$23</f>
        <v/>
      </c>
      <c r="O23" s="25">
        <f>Inputs!$B$26</f>
        <v/>
      </c>
      <c r="P23" s="25">
        <f>Inputs!$B$27</f>
        <v/>
      </c>
      <c r="Q23" s="25">
        <f>Inputs!$B$28</f>
        <v/>
      </c>
      <c r="R23" s="25">
        <f>Inputs!$B$29</f>
        <v/>
      </c>
      <c r="S23" s="25">
        <f>Inputs!$B$30</f>
        <v/>
      </c>
      <c r="T23" s="25">
        <f>Inputs!$B$31</f>
        <v/>
      </c>
      <c r="U23" s="25">
        <f>Inputs!$B$32</f>
        <v/>
      </c>
      <c r="V23" s="25">
        <f>Inputs!$B$35</f>
        <v/>
      </c>
      <c r="W23" s="25">
        <f>Inputs!$B$36</f>
        <v/>
      </c>
      <c r="X23" s="25">
        <f>Inputs!$B$37</f>
        <v/>
      </c>
      <c r="Y23" s="25">
        <f>Inputs!$B$38</f>
        <v/>
      </c>
      <c r="Z23" s="25">
        <f>Inputs!$B$39</f>
        <v/>
      </c>
      <c r="AA23" s="25">
        <f>Inputs!$B$40</f>
        <v/>
      </c>
      <c r="AB23" s="25">
        <f>Inputs!$B$41</f>
        <v/>
      </c>
      <c r="AC23" s="25">
        <f>Inputs!$B$42</f>
        <v/>
      </c>
      <c r="AD23" s="25">
        <f>Inputs!$B$43</f>
        <v/>
      </c>
      <c r="AE23" s="25">
        <f>Inputs!$B$44</f>
        <v/>
      </c>
      <c r="AF23" s="25">
        <f>Inputs!$B$45</f>
        <v/>
      </c>
      <c r="AG23" s="25">
        <f>Inputs!$B$46</f>
        <v/>
      </c>
      <c r="AH23" s="25">
        <f>Inputs!$B$47</f>
        <v/>
      </c>
      <c r="AI23" s="25">
        <f>Inputs!$B$48</f>
        <v/>
      </c>
      <c r="AJ23" s="25">
        <f>IF(ISNUMBER(Inputs!$B$51),Inputs!$B$51,"")</f>
        <v/>
      </c>
      <c r="AK23" s="25">
        <f>Inputs!$B$52</f>
        <v/>
      </c>
      <c r="AL23" s="25">
        <f>Inputs!$B$55</f>
        <v/>
      </c>
      <c r="AM23" s="25">
        <f>Inputs!$B$56</f>
        <v/>
      </c>
      <c r="AN23" s="25">
        <f>Inputs!$B$57</f>
        <v/>
      </c>
      <c r="AO23" s="25">
        <f>Inputs!$B$58</f>
        <v/>
      </c>
      <c r="AP23" s="25">
        <f>Inputs!$B$61*Sensitivity!$D$26</f>
        <v/>
      </c>
      <c r="AQ23" s="25">
        <f>Inputs!$B$62</f>
        <v/>
      </c>
      <c r="AR23" s="25">
        <f>1</f>
        <v/>
      </c>
      <c r="AS23" s="25" t="n">
        <v>1</v>
      </c>
      <c r="AT23" s="25" t="n">
        <v>2</v>
      </c>
      <c r="AU23" s="25" t="n">
        <v>3</v>
      </c>
      <c r="AV23" s="25" t="n">
        <v>4</v>
      </c>
      <c r="AW23" s="25" t="n">
        <v>5</v>
      </c>
      <c r="AX23" s="25">
        <f>MIN(5,MAX(1,ROUND($AL23,0)))</f>
        <v/>
      </c>
      <c r="AY23" s="25">
        <f>MAX(1,ROUND($W23,0))</f>
        <v/>
      </c>
      <c r="AZ23" s="25">
        <f>IF(1&lt;=$AX23,1,0)</f>
        <v/>
      </c>
      <c r="BA23" s="25">
        <f>IF(2&lt;=$AX23,1,0)</f>
        <v/>
      </c>
      <c r="BB23" s="25">
        <f>IF(3&lt;=$AX23,1,0)</f>
        <v/>
      </c>
      <c r="BC23" s="25">
        <f>IF(4&lt;=$AX23,1,0)</f>
        <v/>
      </c>
      <c r="BD23" s="25">
        <f>IF(5&lt;=$AX23,1,0)</f>
        <v/>
      </c>
      <c r="BE23" s="52">
        <f>(1+$AN23)^(1-1)</f>
        <v/>
      </c>
      <c r="BF23" s="52">
        <f>(1+$AN23)^(2-1)</f>
        <v/>
      </c>
      <c r="BG23" s="52">
        <f>(1+$AN23)^(3-1)</f>
        <v/>
      </c>
      <c r="BH23" s="52">
        <f>(1+$AN23)^(4-1)</f>
        <v/>
      </c>
      <c r="BI23" s="52">
        <f>(1+$AN23)^(5-1)</f>
        <v/>
      </c>
      <c r="BJ23" s="53">
        <f>1/(1+$AM23)^(1-1)</f>
        <v/>
      </c>
      <c r="BK23" s="53">
        <f>1/(1+$AM23)^(2-1)</f>
        <v/>
      </c>
      <c r="BL23" s="53">
        <f>1/(1+$AM23)^(3-1)</f>
        <v/>
      </c>
      <c r="BM23" s="53">
        <f>1/(1+$AM23)^(4-1)</f>
        <v/>
      </c>
      <c r="BN23" s="53">
        <f>1/(1+$AM23)^(5-1)</f>
        <v/>
      </c>
      <c r="BO23" s="53">
        <f>1/(1+$AM23)^1</f>
        <v/>
      </c>
      <c r="BP23" s="53">
        <f>1/(1+$AM23)^2</f>
        <v/>
      </c>
      <c r="BQ23" s="53">
        <f>1/(1+$AM23)^3</f>
        <v/>
      </c>
      <c r="BR23" s="53">
        <f>1/(1+$AM23)^4</f>
        <v/>
      </c>
      <c r="BS23" s="53">
        <f>1/(1+$AM23)^5</f>
        <v/>
      </c>
      <c r="BT23" s="43">
        <f>IF(AND($I23="Direct monthly estimate",$J23&gt;0),$J23,$D23*$K23*$L23)</f>
        <v/>
      </c>
      <c r="BU23" s="43">
        <f>$BT23*$B23*12*(1+$N23)^(1-1)</f>
        <v/>
      </c>
      <c r="BV23" s="43">
        <f>$BT23*$B23*12*(1+$N23)^(2-1)</f>
        <v/>
      </c>
      <c r="BW23" s="43">
        <f>$BT23*$B23*12*(1+$N23)^(3-1)</f>
        <v/>
      </c>
      <c r="BX23" s="43">
        <f>$BT23*$B23*12*(1+$N23)^(4-1)</f>
        <v/>
      </c>
      <c r="BY23" s="43">
        <f>$BT23*$B23*12*(1+$N23)^(5-1)</f>
        <v/>
      </c>
      <c r="BZ23" s="43">
        <f>$BU23/31536000*$M23</f>
        <v/>
      </c>
      <c r="CA23" s="43">
        <f>$BV23/31536000*$M23</f>
        <v/>
      </c>
      <c r="CB23" s="43">
        <f>$BW23/31536000*$M23</f>
        <v/>
      </c>
      <c r="CC23" s="43">
        <f>$BX23/31536000*$M23</f>
        <v/>
      </c>
      <c r="CD23" s="43">
        <f>$BY23/31536000*$M23</f>
        <v/>
      </c>
      <c r="CE23" s="43">
        <f>$BZ23*$AI23</f>
        <v/>
      </c>
      <c r="CF23" s="43">
        <f>$CA23*$AI23</f>
        <v/>
      </c>
      <c r="CG23" s="43">
        <f>$CB23*$AI23</f>
        <v/>
      </c>
      <c r="CH23" s="43">
        <f>$CC23*$AI23</f>
        <v/>
      </c>
      <c r="CI23" s="43">
        <f>$CD23*$AI23</f>
        <v/>
      </c>
      <c r="CJ23" s="44">
        <f>$O23*(1-$Q23)*(1-$P23)^(1-1)</f>
        <v/>
      </c>
      <c r="CK23" s="44">
        <f>$O23*(1-$Q23)*(1-$P23)^(2-1)</f>
        <v/>
      </c>
      <c r="CL23" s="44">
        <f>$O23*(1-$Q23)*(1-$P23)^(3-1)</f>
        <v/>
      </c>
      <c r="CM23" s="44">
        <f>$O23*(1-$Q23)*(1-$P23)^(4-1)</f>
        <v/>
      </c>
      <c r="CN23" s="44">
        <f>$O23*(1-$Q23)*(1-$P23)^(5-1)</f>
        <v/>
      </c>
      <c r="CO23" s="45">
        <f>$BU23/1000000*$CJ23</f>
        <v/>
      </c>
      <c r="CP23" s="45">
        <f>$BV23/1000000*$CK23</f>
        <v/>
      </c>
      <c r="CQ23" s="45">
        <f>$BW23/1000000*$CL23</f>
        <v/>
      </c>
      <c r="CR23" s="45">
        <f>$BX23/1000000*$CM23</f>
        <v/>
      </c>
      <c r="CS23" s="45">
        <f>$BY23/1000000*$CN23</f>
        <v/>
      </c>
      <c r="CT23" s="45">
        <f>($T23*$U23+$S23)*$BE23</f>
        <v/>
      </c>
      <c r="CU23" s="45">
        <f>($T23*$U23+$S23)*$BF23</f>
        <v/>
      </c>
      <c r="CV23" s="45">
        <f>($T23*$U23+$S23)*$BG23</f>
        <v/>
      </c>
      <c r="CW23" s="45">
        <f>($T23*$U23+$S23)*$BH23</f>
        <v/>
      </c>
      <c r="CX23" s="45">
        <f>($T23*$U23+$S23)*$BI23</f>
        <v/>
      </c>
      <c r="CY23" s="45">
        <f>IF(1=1,$R23,0)</f>
        <v/>
      </c>
      <c r="CZ23" s="45">
        <f>IF(2=1,$R23,0)</f>
        <v/>
      </c>
      <c r="DA23" s="45">
        <f>IF(3=1,$R23,0)</f>
        <v/>
      </c>
      <c r="DB23" s="45">
        <f>IF(4=1,$R23,0)</f>
        <v/>
      </c>
      <c r="DC23" s="45">
        <f>IF(5=1,$R23,0)</f>
        <v/>
      </c>
      <c r="DD23" s="45">
        <f>$CO23+$CT23+$CY23</f>
        <v/>
      </c>
      <c r="DE23" s="45">
        <f>$CP23+$CU23+$CZ23</f>
        <v/>
      </c>
      <c r="DF23" s="45">
        <f>$CQ23+$CV23+$DA23</f>
        <v/>
      </c>
      <c r="DG23" s="45">
        <f>$CR23+$CW23+$DB23</f>
        <v/>
      </c>
      <c r="DH23" s="45">
        <f>$CS23+$CX23+$DC23</f>
        <v/>
      </c>
      <c r="DI23" s="45">
        <f>$CY23</f>
        <v/>
      </c>
      <c r="DJ23" s="45">
        <f>$CZ23</f>
        <v/>
      </c>
      <c r="DK23" s="45">
        <f>$DA23</f>
        <v/>
      </c>
      <c r="DL23" s="45">
        <f>$DB23</f>
        <v/>
      </c>
      <c r="DM23" s="45">
        <f>$DC23</f>
        <v/>
      </c>
      <c r="DN23" s="45">
        <f>$CO23+$CT23</f>
        <v/>
      </c>
      <c r="DO23" s="45">
        <f>$CP23+$CU23</f>
        <v/>
      </c>
      <c r="DP23" s="45">
        <f>$CQ23+$CV23</f>
        <v/>
      </c>
      <c r="DQ23" s="45">
        <f>$CR23+$CW23</f>
        <v/>
      </c>
      <c r="DR23" s="45">
        <f>$CS23+$CX23</f>
        <v/>
      </c>
      <c r="DS23" s="45">
        <f>0</f>
        <v/>
      </c>
      <c r="DT23" s="45">
        <f>SUMPRODUCT($AZ23:$BD23,$DD23:$DH23)</f>
        <v/>
      </c>
      <c r="DU23" s="45">
        <f>SUM($DD23:$DF23)</f>
        <v/>
      </c>
      <c r="DV23" s="45">
        <f>SUM($DD23:$DH23)</f>
        <v/>
      </c>
      <c r="DW23" s="45">
        <f>SUMPRODUCT($AZ23:$BD23,$DI23:$DM23,$BJ23:$BN23)+SUMPRODUCT($AZ23:$BD23,$DN23:$DR23,$BO23:$BS23)-$DS23/(1+$AM23)^$AX23</f>
        <v/>
      </c>
      <c r="DX23" s="43">
        <f>IF($CE23&gt;0,ROUNDUP($CE23/$AP23,0),0)</f>
        <v/>
      </c>
      <c r="DY23" s="43">
        <f>IF($CF23&gt;0,ROUNDUP($CF23/$AP23,0),0)</f>
        <v/>
      </c>
      <c r="DZ23" s="43">
        <f>IF($CG23&gt;0,ROUNDUP($CG23/$AP23,0),0)</f>
        <v/>
      </c>
      <c r="EA23" s="43">
        <f>IF($CH23&gt;0,ROUNDUP($CH23/$AP23,0),0)</f>
        <v/>
      </c>
      <c r="EB23" s="43">
        <f>IF($CI23&gt;0,ROUNDUP($CI23/$AP23,0),0)</f>
        <v/>
      </c>
      <c r="EC23" s="43">
        <f>MAX($DX23,0)</f>
        <v/>
      </c>
      <c r="ED23" s="43">
        <f>MAX($DY23,$EC23)</f>
        <v/>
      </c>
      <c r="EE23" s="43">
        <f>MAX($DZ23,$ED23)</f>
        <v/>
      </c>
      <c r="EF23" s="43">
        <f>MAX($EA23,$EE23)</f>
        <v/>
      </c>
      <c r="EG23" s="43">
        <f>MAX($EB23,$EF23)</f>
        <v/>
      </c>
      <c r="EH23" s="43">
        <f>$EC23-0</f>
        <v/>
      </c>
      <c r="EI23" s="43">
        <f>$ED23-$EC23</f>
        <v/>
      </c>
      <c r="EJ23" s="43">
        <f>$EE23-$ED23</f>
        <v/>
      </c>
      <c r="EK23" s="43">
        <f>$EF23-$EE23</f>
        <v/>
      </c>
      <c r="EL23" s="43">
        <f>$EG23-$EF23</f>
        <v/>
      </c>
      <c r="EM23" s="43">
        <f>0</f>
        <v/>
      </c>
      <c r="EN23" s="43">
        <f>(1+$AY23=2)*$ER23</f>
        <v/>
      </c>
      <c r="EO23" s="43">
        <f>(1+$AY23=3)*$ER23+(2+$AY23=3)*$ES23</f>
        <v/>
      </c>
      <c r="EP23" s="43">
        <f>(1+$AY23=4)*$ER23+(2+$AY23=4)*$ES23+(3+$AY23=4)*$ET23</f>
        <v/>
      </c>
      <c r="EQ23" s="43">
        <f>(1+$AY23=5)*$ER23+(2+$AY23=5)*$ES23+(3+$AY23=5)*$ET23+(4+$AY23=5)*$EU23</f>
        <v/>
      </c>
      <c r="ER23" s="43">
        <f>$EH23+$EM23</f>
        <v/>
      </c>
      <c r="ES23" s="43">
        <f>$EI23+$EN23</f>
        <v/>
      </c>
      <c r="ET23" s="43">
        <f>$EJ23+$EO23</f>
        <v/>
      </c>
      <c r="EU23" s="43">
        <f>$EK23+$EP23</f>
        <v/>
      </c>
      <c r="EV23" s="43">
        <f>$EL23+$EQ23</f>
        <v/>
      </c>
      <c r="EW23" s="45">
        <f>$ER23*$V23</f>
        <v/>
      </c>
      <c r="EX23" s="45">
        <f>$ES23*$V23</f>
        <v/>
      </c>
      <c r="EY23" s="45">
        <f>$ET23*$V23</f>
        <v/>
      </c>
      <c r="EZ23" s="45">
        <f>$EU23*$V23</f>
        <v/>
      </c>
      <c r="FA23" s="45">
        <f>$EV23*$V23</f>
        <v/>
      </c>
      <c r="FB23" s="45">
        <f>$EM23*$V23*$X23</f>
        <v/>
      </c>
      <c r="FC23" s="45">
        <f>$EN23*$V23*$X23</f>
        <v/>
      </c>
      <c r="FD23" s="45">
        <f>$EO23*$V23*$X23</f>
        <v/>
      </c>
      <c r="FE23" s="45">
        <f>$EP23*$V23*$X23</f>
        <v/>
      </c>
      <c r="FF23" s="45">
        <f>$EQ23*$V23*$X23</f>
        <v/>
      </c>
      <c r="FG23" s="45">
        <f>$EC23*$V23*(1-$X23)/$AY23</f>
        <v/>
      </c>
      <c r="FH23" s="45">
        <f>$ED23*$V23*(1-$X23)/$AY23</f>
        <v/>
      </c>
      <c r="FI23" s="45">
        <f>$EE23*$V23*(1-$X23)/$AY23</f>
        <v/>
      </c>
      <c r="FJ23" s="45">
        <f>$EF23*$V23*(1-$X23)/$AY23</f>
        <v/>
      </c>
      <c r="FK23" s="45">
        <f>$EG23*$V23*(1-$X23)/$AY23</f>
        <v/>
      </c>
      <c r="FL23" s="45">
        <f>$EC23*$Y23*$Z23*$AA23*8760*$BE23</f>
        <v/>
      </c>
      <c r="FM23" s="45">
        <f>$ED23*$Y23*$Z23*$AA23*8760*$BF23</f>
        <v/>
      </c>
      <c r="FN23" s="45">
        <f>$EE23*$Y23*$Z23*$AA23*8760*$BG23</f>
        <v/>
      </c>
      <c r="FO23" s="45">
        <f>$EF23*$Y23*$Z23*$AA23*8760*$BH23</f>
        <v/>
      </c>
      <c r="FP23" s="45">
        <f>$EG23*$Y23*$Z23*$AA23*8760*$BI23</f>
        <v/>
      </c>
      <c r="FQ23" s="45">
        <f>IF($AC23&gt;0,$AC23,$EC23*$Y23*$AB23*12)*$BE23</f>
        <v/>
      </c>
      <c r="FR23" s="45">
        <f>IF($AC23&gt;0,$AC23,$ED23*$Y23*$AB23*12)*$BF23</f>
        <v/>
      </c>
      <c r="FS23" s="45">
        <f>IF($AC23&gt;0,$AC23,$EE23*$Y23*$AB23*12)*$BG23</f>
        <v/>
      </c>
      <c r="FT23" s="45">
        <f>IF($AC23&gt;0,$AC23,$EF23*$Y23*$AB23*12)*$BH23</f>
        <v/>
      </c>
      <c r="FU23" s="45">
        <f>IF($AC23&gt;0,$AC23,$EG23*$Y23*$AB23*12)*$BI23</f>
        <v/>
      </c>
      <c r="FV23" s="45">
        <f>$EC23*$V23*$AD23*$BE23</f>
        <v/>
      </c>
      <c r="FW23" s="45">
        <f>$ED23*$V23*$AD23*$BF23</f>
        <v/>
      </c>
      <c r="FX23" s="45">
        <f>$EE23*$V23*$AD23*$BG23</f>
        <v/>
      </c>
      <c r="FY23" s="45">
        <f>$EF23*$V23*$AD23*$BH23</f>
        <v/>
      </c>
      <c r="FZ23" s="45">
        <f>$EG23*$V23*$AD23*$BI23</f>
        <v/>
      </c>
      <c r="GA23" s="45">
        <f>$AE23*$BE23</f>
        <v/>
      </c>
      <c r="GB23" s="45">
        <f>$AE23*$BF23</f>
        <v/>
      </c>
      <c r="GC23" s="45">
        <f>$AE23*$BG23</f>
        <v/>
      </c>
      <c r="GD23" s="45">
        <f>$AE23*$BH23</f>
        <v/>
      </c>
      <c r="GE23" s="45">
        <f>$AE23*$BI23</f>
        <v/>
      </c>
      <c r="GF23" s="45">
        <f>$AF23*$AG23*$BE23</f>
        <v/>
      </c>
      <c r="GG23" s="45">
        <f>$AF23*$AG23*$BF23</f>
        <v/>
      </c>
      <c r="GH23" s="45">
        <f>$AF23*$AG23*$BG23</f>
        <v/>
      </c>
      <c r="GI23" s="45">
        <f>$AF23*$AG23*$BH23</f>
        <v/>
      </c>
      <c r="GJ23" s="45">
        <f>$AF23*$AG23*$BI23</f>
        <v/>
      </c>
      <c r="GK23" s="45">
        <f>IF(1=1,$AH23,0)</f>
        <v/>
      </c>
      <c r="GL23" s="45">
        <f>IF(2=1,$AH23,0)</f>
        <v/>
      </c>
      <c r="GM23" s="45">
        <f>IF(3=1,$AH23,0)</f>
        <v/>
      </c>
      <c r="GN23" s="45">
        <f>IF(4=1,$AH23,0)</f>
        <v/>
      </c>
      <c r="GO23" s="45">
        <f>IF(5=1,$AH23,0)</f>
        <v/>
      </c>
      <c r="GP23" s="45">
        <f>$FG23+$FL23+$FQ23+$FV23+$GA23+$GF23+$GK23</f>
        <v/>
      </c>
      <c r="GQ23" s="45">
        <f>$FH23+$FM23+$FR23+$FW23+$GB23+$GG23+$GL23</f>
        <v/>
      </c>
      <c r="GR23" s="45">
        <f>$FI23+$FN23+$FS23+$FX23+$GC23+$GH23+$GM23</f>
        <v/>
      </c>
      <c r="GS23" s="45">
        <f>$FJ23+$FO23+$FT23+$FY23+$GD23+$GI23+$GN23</f>
        <v/>
      </c>
      <c r="GT23" s="45">
        <f>$FK23+$FP23+$FU23+$FZ23+$GE23+$GJ23+$GO23</f>
        <v/>
      </c>
      <c r="GU23" s="45">
        <f>$EW23-$FB23+$GK23</f>
        <v/>
      </c>
      <c r="GV23" s="45">
        <f>$EX23-$FC23+$GL23</f>
        <v/>
      </c>
      <c r="GW23" s="45">
        <f>$EY23-$FD23+$GM23</f>
        <v/>
      </c>
      <c r="GX23" s="45">
        <f>$EZ23-$FE23+$GN23</f>
        <v/>
      </c>
      <c r="GY23" s="45">
        <f>$FA23-$FF23+$GO23</f>
        <v/>
      </c>
      <c r="GZ23" s="45">
        <f>$FL23+$FQ23+$FV23+$GA23+$GF23</f>
        <v/>
      </c>
      <c r="HA23" s="45">
        <f>$FM23+$FR23+$FW23+$GB23+$GG23</f>
        <v/>
      </c>
      <c r="HB23" s="45">
        <f>$FN23+$FS23+$FX23+$GC23+$GH23</f>
        <v/>
      </c>
      <c r="HC23" s="45">
        <f>$FO23+$FT23+$FY23+$GD23+$GI23</f>
        <v/>
      </c>
      <c r="HD23" s="45">
        <f>$FP23+$FU23+$FZ23+$GE23+$GJ23</f>
        <v/>
      </c>
      <c r="HE23" s="45">
        <f>((1&lt;=$AX23)*(1&gt;$AX23-$AY23))*$ER23*$V23*MAX(0,1-(1-$X23)*($AX23-1+1)/$AY23)+((2&lt;=$AX23)*(2&gt;$AX23-$AY23))*$ES23*$V23*MAX(0,1-(1-$X23)*($AX23-2+1)/$AY23)+((3&lt;=$AX23)*(3&gt;$AX23-$AY23))*$ET23*$V23*MAX(0,1-(1-$X23)*($AX23-3+1)/$AY23)+((4&lt;=$AX23)*(4&gt;$AX23-$AY23))*$EU23*$V23*MAX(0,1-(1-$X23)*($AX23-4+1)/$AY23)+((5&lt;=$AX23)*(5&gt;$AX23-$AY23))*$EV23*$V23*MAX(0,1-(1-$X23)*($AX23-5+1)/$AY23)</f>
        <v/>
      </c>
      <c r="HF23" s="45">
        <f>SUMPRODUCT($AZ23:$BD23,$GP23:$GT23)</f>
        <v/>
      </c>
      <c r="HG23" s="45">
        <f>SUM($GP23:$GR23)</f>
        <v/>
      </c>
      <c r="HH23" s="45">
        <f>SUM($GP23:$GT23)</f>
        <v/>
      </c>
      <c r="HI23" s="45">
        <f>SUMPRODUCT($AZ23:$BD23,$GU23:$GY23,$BJ23:$BN23)+SUMPRODUCT($AZ23:$BD23,$GZ23:$HD23,$BO23:$BS23)-$HE23/(1+$AM23)^$AX23</f>
        <v/>
      </c>
      <c r="HJ23" s="46">
        <f>MIN(1,MAX(0,IF(ISNUMBER($AJ23),$AJ23,IF($F23+$G23+$H23&gt;0,($G23+$H23)/($F23+$G23+$H23),0))*$AR23))</f>
        <v/>
      </c>
      <c r="HK23" s="25">
        <f>IF($HJ23&gt;0,1,0)</f>
        <v/>
      </c>
      <c r="HL23" s="25">
        <f>IF($HJ23&lt;1,1,0)</f>
        <v/>
      </c>
      <c r="HM23" s="43">
        <f>IF($CE23*$HJ23&gt;0,ROUNDUP($CE23*$HJ23/$AP23,0),0)</f>
        <v/>
      </c>
      <c r="HN23" s="43">
        <f>IF($CF23*$HJ23&gt;0,ROUNDUP($CF23*$HJ23/$AP23,0),0)</f>
        <v/>
      </c>
      <c r="HO23" s="43">
        <f>IF($CG23*$HJ23&gt;0,ROUNDUP($CG23*$HJ23/$AP23,0),0)</f>
        <v/>
      </c>
      <c r="HP23" s="43">
        <f>IF($CH23*$HJ23&gt;0,ROUNDUP($CH23*$HJ23/$AP23,0),0)</f>
        <v/>
      </c>
      <c r="HQ23" s="43">
        <f>IF($CI23*$HJ23&gt;0,ROUNDUP($CI23*$HJ23/$AP23,0),0)</f>
        <v/>
      </c>
      <c r="HR23" s="43">
        <f>MAX($HM23,0)</f>
        <v/>
      </c>
      <c r="HS23" s="43">
        <f>MAX($HN23,$HR23)</f>
        <v/>
      </c>
      <c r="HT23" s="43">
        <f>MAX($HO23,$HS23)</f>
        <v/>
      </c>
      <c r="HU23" s="43">
        <f>MAX($HP23,$HT23)</f>
        <v/>
      </c>
      <c r="HV23" s="43">
        <f>MAX($HQ23,$HU23)</f>
        <v/>
      </c>
      <c r="HW23" s="43">
        <f>$HR23-0</f>
        <v/>
      </c>
      <c r="HX23" s="43">
        <f>$HS23-$HR23</f>
        <v/>
      </c>
      <c r="HY23" s="43">
        <f>$HT23-$HS23</f>
        <v/>
      </c>
      <c r="HZ23" s="43">
        <f>$HU23-$HT23</f>
        <v/>
      </c>
      <c r="IA23" s="43">
        <f>$HV23-$HU23</f>
        <v/>
      </c>
      <c r="IB23" s="43">
        <f>0</f>
        <v/>
      </c>
      <c r="IC23" s="43">
        <f>(1+$AY23=2)*$IG23</f>
        <v/>
      </c>
      <c r="ID23" s="43">
        <f>(1+$AY23=3)*$IG23+(2+$AY23=3)*$IH23</f>
        <v/>
      </c>
      <c r="IE23" s="43">
        <f>(1+$AY23=4)*$IG23+(2+$AY23=4)*$IH23+(3+$AY23=4)*$II23</f>
        <v/>
      </c>
      <c r="IF23" s="43">
        <f>(1+$AY23=5)*$IG23+(2+$AY23=5)*$IH23+(3+$AY23=5)*$II23+(4+$AY23=5)*$IJ23</f>
        <v/>
      </c>
      <c r="IG23" s="43">
        <f>$HW23+$IB23</f>
        <v/>
      </c>
      <c r="IH23" s="43">
        <f>$HX23+$IC23</f>
        <v/>
      </c>
      <c r="II23" s="43">
        <f>$HY23+$ID23</f>
        <v/>
      </c>
      <c r="IJ23" s="43">
        <f>$HZ23+$IE23</f>
        <v/>
      </c>
      <c r="IK23" s="43">
        <f>$IA23+$IF23</f>
        <v/>
      </c>
      <c r="IL23" s="45">
        <f>$IG23*$V23</f>
        <v/>
      </c>
      <c r="IM23" s="45">
        <f>$IH23*$V23</f>
        <v/>
      </c>
      <c r="IN23" s="45">
        <f>$II23*$V23</f>
        <v/>
      </c>
      <c r="IO23" s="45">
        <f>$IJ23*$V23</f>
        <v/>
      </c>
      <c r="IP23" s="45">
        <f>$IK23*$V23</f>
        <v/>
      </c>
      <c r="IQ23" s="45">
        <f>$IB23*$V23*$X23</f>
        <v/>
      </c>
      <c r="IR23" s="45">
        <f>$IC23*$V23*$X23</f>
        <v/>
      </c>
      <c r="IS23" s="45">
        <f>$ID23*$V23*$X23</f>
        <v/>
      </c>
      <c r="IT23" s="45">
        <f>$IE23*$V23*$X23</f>
        <v/>
      </c>
      <c r="IU23" s="45">
        <f>$IF23*$V23*$X23</f>
        <v/>
      </c>
      <c r="IV23" s="45">
        <f>$HR23*$V23*(1-$X23)/$AY23</f>
        <v/>
      </c>
      <c r="IW23" s="45">
        <f>$HS23*$V23*(1-$X23)/$AY23</f>
        <v/>
      </c>
      <c r="IX23" s="45">
        <f>$HT23*$V23*(1-$X23)/$AY23</f>
        <v/>
      </c>
      <c r="IY23" s="45">
        <f>$HU23*$V23*(1-$X23)/$AY23</f>
        <v/>
      </c>
      <c r="IZ23" s="45">
        <f>$HV23*$V23*(1-$X23)/$AY23</f>
        <v/>
      </c>
      <c r="JA23" s="45">
        <f>$HR23*$Y23*$Z23*$AA23*8760*$BE23</f>
        <v/>
      </c>
      <c r="JB23" s="45">
        <f>$HS23*$Y23*$Z23*$AA23*8760*$BF23</f>
        <v/>
      </c>
      <c r="JC23" s="45">
        <f>$HT23*$Y23*$Z23*$AA23*8760*$BG23</f>
        <v/>
      </c>
      <c r="JD23" s="45">
        <f>$HU23*$Y23*$Z23*$AA23*8760*$BH23</f>
        <v/>
      </c>
      <c r="JE23" s="45">
        <f>$HV23*$Y23*$Z23*$AA23*8760*$BI23</f>
        <v/>
      </c>
      <c r="JF23" s="45">
        <f>IF($AC23&gt;0,$AC23*$HK23,$HR23*$Y23*$AB23*12)*$BE23</f>
        <v/>
      </c>
      <c r="JG23" s="45">
        <f>IF($AC23&gt;0,$AC23*$HK23,$HS23*$Y23*$AB23*12)*$BF23</f>
        <v/>
      </c>
      <c r="JH23" s="45">
        <f>IF($AC23&gt;0,$AC23*$HK23,$HT23*$Y23*$AB23*12)*$BG23</f>
        <v/>
      </c>
      <c r="JI23" s="45">
        <f>IF($AC23&gt;0,$AC23*$HK23,$HU23*$Y23*$AB23*12)*$BH23</f>
        <v/>
      </c>
      <c r="JJ23" s="45">
        <f>IF($AC23&gt;0,$AC23*$HK23,$HV23*$Y23*$AB23*12)*$BI23</f>
        <v/>
      </c>
      <c r="JK23" s="45">
        <f>$HR23*$V23*$AD23*$BE23</f>
        <v/>
      </c>
      <c r="JL23" s="45">
        <f>$HS23*$V23*$AD23*$BF23</f>
        <v/>
      </c>
      <c r="JM23" s="45">
        <f>$HT23*$V23*$AD23*$BG23</f>
        <v/>
      </c>
      <c r="JN23" s="45">
        <f>$HU23*$V23*$AD23*$BH23</f>
        <v/>
      </c>
      <c r="JO23" s="45">
        <f>$HV23*$V23*$AD23*$BI23</f>
        <v/>
      </c>
      <c r="JP23" s="45">
        <f>$AE23*$BE23*$HK23</f>
        <v/>
      </c>
      <c r="JQ23" s="45">
        <f>$AE23*$BF23*$HK23</f>
        <v/>
      </c>
      <c r="JR23" s="45">
        <f>$AE23*$BG23*$HK23</f>
        <v/>
      </c>
      <c r="JS23" s="45">
        <f>$AE23*$BH23*$HK23</f>
        <v/>
      </c>
      <c r="JT23" s="45">
        <f>$AE23*$BI23*$HK23</f>
        <v/>
      </c>
      <c r="JU23" s="45">
        <f>$AQ23*$AG23*$BE23*$HK23</f>
        <v/>
      </c>
      <c r="JV23" s="45">
        <f>$AQ23*$AG23*$BF23*$HK23</f>
        <v/>
      </c>
      <c r="JW23" s="45">
        <f>$AQ23*$AG23*$BG23*$HK23</f>
        <v/>
      </c>
      <c r="JX23" s="45">
        <f>$AQ23*$AG23*$BH23*$HK23</f>
        <v/>
      </c>
      <c r="JY23" s="45">
        <f>$AQ23*$AG23*$BI23*$HK23</f>
        <v/>
      </c>
      <c r="JZ23" s="45">
        <f>$BU23*(1-$HJ23)/1000000*$CJ23</f>
        <v/>
      </c>
      <c r="KA23" s="45">
        <f>$BV23*(1-$HJ23)/1000000*$CK23</f>
        <v/>
      </c>
      <c r="KB23" s="45">
        <f>$BW23*(1-$HJ23)/1000000*$CL23</f>
        <v/>
      </c>
      <c r="KC23" s="45">
        <f>$BX23*(1-$HJ23)/1000000*$CM23</f>
        <v/>
      </c>
      <c r="KD23" s="45">
        <f>$BY23*(1-$HJ23)/1000000*$CN23</f>
        <v/>
      </c>
      <c r="KE23" s="45">
        <f>$CT23*$HL23</f>
        <v/>
      </c>
      <c r="KF23" s="45">
        <f>$CU23*$HL23</f>
        <v/>
      </c>
      <c r="KG23" s="45">
        <f>$CV23*$HL23</f>
        <v/>
      </c>
      <c r="KH23" s="45">
        <f>$CW23*$HL23</f>
        <v/>
      </c>
      <c r="KI23" s="45">
        <f>$CX23*$HL23</f>
        <v/>
      </c>
      <c r="KJ23" s="45">
        <f>IF(1=1,$R23*$HL23+$AH23*$HK23+$AK23,0)</f>
        <v/>
      </c>
      <c r="KK23" s="45">
        <f>IF(2=1,$R23*$HL23+$AH23*$HK23+$AK23,0)</f>
        <v/>
      </c>
      <c r="KL23" s="45">
        <f>IF(3=1,$R23*$HL23+$AH23*$HK23+$AK23,0)</f>
        <v/>
      </c>
      <c r="KM23" s="45">
        <f>IF(4=1,$R23*$HL23+$AH23*$HK23+$AK23,0)</f>
        <v/>
      </c>
      <c r="KN23" s="45">
        <f>IF(5=1,$R23*$HL23+$AH23*$HK23+$AK23,0)</f>
        <v/>
      </c>
      <c r="KO23" s="45">
        <f>$IV23+$JA23+$JF23+$JK23+$JP23+$JU23+$JZ23+$KE23+$KJ23</f>
        <v/>
      </c>
      <c r="KP23" s="45">
        <f>$IW23+$JB23+$JG23+$JL23+$JQ23+$JV23+$KA23+$KF23+$KK23</f>
        <v/>
      </c>
      <c r="KQ23" s="45">
        <f>$IX23+$JC23+$JH23+$JM23+$JR23+$JW23+$KB23+$KG23+$KL23</f>
        <v/>
      </c>
      <c r="KR23" s="45">
        <f>$IY23+$JD23+$JI23+$JN23+$JS23+$JX23+$KC23+$KH23+$KM23</f>
        <v/>
      </c>
      <c r="KS23" s="45">
        <f>$IZ23+$JE23+$JJ23+$JO23+$JT23+$JY23+$KD23+$KI23+$KN23</f>
        <v/>
      </c>
      <c r="KT23" s="45">
        <f>$IL23-$IQ23+$KJ23</f>
        <v/>
      </c>
      <c r="KU23" s="45">
        <f>$IM23-$IR23+$KK23</f>
        <v/>
      </c>
      <c r="KV23" s="45">
        <f>$IN23-$IS23+$KL23</f>
        <v/>
      </c>
      <c r="KW23" s="45">
        <f>$IO23-$IT23+$KM23</f>
        <v/>
      </c>
      <c r="KX23" s="45">
        <f>$IP23-$IU23+$KN23</f>
        <v/>
      </c>
      <c r="KY23" s="45">
        <f>$JA23+$JF23+$JK23+$JP23+$JU23+$JZ23+$KE23</f>
        <v/>
      </c>
      <c r="KZ23" s="45">
        <f>$JB23+$JG23+$JL23+$JQ23+$JV23+$KA23+$KF23</f>
        <v/>
      </c>
      <c r="LA23" s="45">
        <f>$JC23+$JH23+$JM23+$JR23+$JW23+$KB23+$KG23</f>
        <v/>
      </c>
      <c r="LB23" s="45">
        <f>$JD23+$JI23+$JN23+$JS23+$JX23+$KC23+$KH23</f>
        <v/>
      </c>
      <c r="LC23" s="45">
        <f>$JE23+$JJ23+$JO23+$JT23+$JY23+$KD23+$KI23</f>
        <v/>
      </c>
      <c r="LD23" s="45">
        <f>((1&lt;=$AX23)*(1&gt;$AX23-$AY23))*$IG23*$V23*MAX(0,1-(1-$X23)*($AX23-1+1)/$AY23)+((2&lt;=$AX23)*(2&gt;$AX23-$AY23))*$IH23*$V23*MAX(0,1-(1-$X23)*($AX23-2+1)/$AY23)+((3&lt;=$AX23)*(3&gt;$AX23-$AY23))*$II23*$V23*MAX(0,1-(1-$X23)*($AX23-3+1)/$AY23)+((4&lt;=$AX23)*(4&gt;$AX23-$AY23))*$IJ23*$V23*MAX(0,1-(1-$X23)*($AX23-4+1)/$AY23)+((5&lt;=$AX23)*(5&gt;$AX23-$AY23))*$IK23*$V23*MAX(0,1-(1-$X23)*($AX23-5+1)/$AY23)</f>
        <v/>
      </c>
      <c r="LE23" s="45">
        <f>SUMPRODUCT($AZ23:$BD23,$KO23:$KS23)</f>
        <v/>
      </c>
      <c r="LF23" s="45">
        <f>SUM($KO23:$KQ23)</f>
        <v/>
      </c>
      <c r="LG23" s="45">
        <f>SUM($KO23:$KS23)</f>
        <v/>
      </c>
      <c r="LH23" s="45">
        <f>SUMPRODUCT($AZ23:$BD23,$KT23:$KX23,$BJ23:$BN23)+SUMPRODUCT($AZ23:$BD23,$KY23:$LC23,$BO23:$BS23)-$LD23/(1+$AM23)^$AX23</f>
        <v/>
      </c>
      <c r="LI23" s="43">
        <f>$BU23/1000000</f>
        <v/>
      </c>
      <c r="LJ23" s="44">
        <f>IF($LI23&gt;0,$DD23/$LI23,0)</f>
        <v/>
      </c>
      <c r="LK23" s="44">
        <f>IF($LI23&gt;0,$GP23/$LI23,0)</f>
        <v/>
      </c>
      <c r="LL23" s="44">
        <f>IF($LI23&gt;0,$KO23/$LI23,0)</f>
        <v/>
      </c>
      <c r="LM23" s="43">
        <f>$AP23*31536000/1000000</f>
        <v/>
      </c>
      <c r="LN23" s="43">
        <f>$EC23*$LM23</f>
        <v/>
      </c>
      <c r="LO23" s="45">
        <f>$FG23+$FL23+$FQ23+$FV23+$GA23+$GF23</f>
        <v/>
      </c>
      <c r="LP23" s="46">
        <f>IF($LN23*$CJ23&gt;0,MAX(0,($LO23-$CT23)/($LN23*$CJ23)),0)</f>
        <v/>
      </c>
      <c r="LQ23" s="46">
        <f>IF($LN23&gt;0,$LI23/$LN23,0)</f>
        <v/>
      </c>
      <c r="LR23" s="46">
        <f>1/($M23*$AI23)</f>
        <v/>
      </c>
      <c r="LS23" s="43">
        <f>$HR23*$LM23</f>
        <v/>
      </c>
      <c r="LT23" s="45">
        <f>$IV23+$JA23+$JF23+$JK23+$JP23+$JU23</f>
        <v/>
      </c>
      <c r="LU23" s="46">
        <f>IF($LS23*$CJ23&gt;0,$LT23/($LS23*$CJ23),0)</f>
        <v/>
      </c>
      <c r="LV23" s="46">
        <f>IF($LS23&gt;0,$LI23*$HJ23/$LS23,0)</f>
        <v/>
      </c>
      <c r="LW23" s="45">
        <f>$V23*(1-$X23)/$AY23+$Y23*$Z23*$AA23*8760+IF($AC23&gt;0,0,$Y23*$AB23*12)+$V23*$AD23</f>
        <v/>
      </c>
      <c r="LX23" s="46">
        <f>IF($LM23*$CJ23&gt;0,$LW23/($LM23*$CJ23),0)</f>
        <v/>
      </c>
      <c r="LY23" s="44">
        <f>IF($LM23*$LR23&gt;0,$LW23/($LM23*$LR23),0)</f>
        <v/>
      </c>
      <c r="LZ23" s="45">
        <f>$AE23+$AF23*$AG23+IF($AC23&gt;0,$AC23,0)-$CT23</f>
        <v/>
      </c>
      <c r="MA23" s="43">
        <f>IF($CJ23&gt;$LY23,MAX(0,$LZ23)/($CJ23-$LY23)*1000000,"Not reachable")</f>
        <v/>
      </c>
      <c r="MB23" s="47">
        <f>IF(AND(ISNUMBER($MA23),$BU23&gt;0),$MA23/$BU23,"n/a")</f>
        <v/>
      </c>
      <c r="MC23" s="47">
        <f>$B23*MAX(0,$D23-1)*$E23</f>
        <v/>
      </c>
      <c r="MD23" s="45">
        <f>$MC23*$C23</f>
        <v/>
      </c>
      <c r="ME23" s="45">
        <f>$MD23*SUMPRODUCT($AZ23:$BD23,$BO23:$BS23)</f>
        <v/>
      </c>
      <c r="MF23" s="45">
        <f>IF($AO23="Yes",$ME23-$DW23,0)</f>
        <v/>
      </c>
      <c r="MG23" s="45">
        <f>IF($AO23="Yes",$ME23-$HI23,0)</f>
        <v/>
      </c>
      <c r="MH23" s="45">
        <f>IF($AO23="Yes",$ME23-$LH23,0)</f>
        <v/>
      </c>
      <c r="MI23" s="45">
        <f>IF($AO23="Yes",$MD23-$DD23,0)</f>
        <v/>
      </c>
      <c r="MJ23" s="25">
        <f>IF(AND($DW23&lt;=$HI23,$DW23&lt;=$LH23),"Rent the Frontier",IF($HI23&lt;=$LH23,"Own the Frontier","Hybrid"))</f>
        <v/>
      </c>
      <c r="MK23" s="25">
        <f>IF(AND($DT23&lt;=$HF23,$DT23&lt;=$LE23),"Rent the Frontier",IF($HF23&lt;=$LE23,"Own the Frontier","Hybrid"))</f>
        <v/>
      </c>
    </row>
    <row r="24">
      <c r="A24" s="25">
        <f>Sensitivity!A27&amp;" ("&amp;Sensitivity!C27&amp;")"</f>
        <v/>
      </c>
      <c r="B24" s="25">
        <f>Inputs!$B$5</f>
        <v/>
      </c>
      <c r="C24" s="25">
        <f>Inputs!$B$6</f>
        <v/>
      </c>
      <c r="D24" s="25">
        <f>Inputs!$B$7</f>
        <v/>
      </c>
      <c r="E24" s="25">
        <f>Inputs!$B$8</f>
        <v/>
      </c>
      <c r="F24" s="25">
        <f>Inputs!$B$12</f>
        <v/>
      </c>
      <c r="G24" s="25">
        <f>Inputs!$B$13</f>
        <v/>
      </c>
      <c r="H24" s="25">
        <f>Inputs!$B$14</f>
        <v/>
      </c>
      <c r="I24" s="25">
        <f>Inputs!$B$18</f>
        <v/>
      </c>
      <c r="J24" s="25">
        <f>Inputs!$B$19</f>
        <v/>
      </c>
      <c r="K24" s="25">
        <f>Inputs!$B$20</f>
        <v/>
      </c>
      <c r="L24" s="25">
        <f>Inputs!$B$21</f>
        <v/>
      </c>
      <c r="M24" s="25">
        <f>Inputs!$B$22</f>
        <v/>
      </c>
      <c r="N24" s="25">
        <f>Inputs!$B$23</f>
        <v/>
      </c>
      <c r="O24" s="25">
        <f>Inputs!$B$26</f>
        <v/>
      </c>
      <c r="P24" s="25">
        <f>Inputs!$B$27</f>
        <v/>
      </c>
      <c r="Q24" s="25">
        <f>Inputs!$B$28</f>
        <v/>
      </c>
      <c r="R24" s="25">
        <f>Inputs!$B$29</f>
        <v/>
      </c>
      <c r="S24" s="25">
        <f>Inputs!$B$30</f>
        <v/>
      </c>
      <c r="T24" s="25">
        <f>Inputs!$B$31</f>
        <v/>
      </c>
      <c r="U24" s="25">
        <f>Inputs!$B$32</f>
        <v/>
      </c>
      <c r="V24" s="25">
        <f>Inputs!$B$35</f>
        <v/>
      </c>
      <c r="W24" s="25">
        <f>Inputs!$B$36</f>
        <v/>
      </c>
      <c r="X24" s="25">
        <f>Inputs!$B$37</f>
        <v/>
      </c>
      <c r="Y24" s="25">
        <f>Inputs!$B$38</f>
        <v/>
      </c>
      <c r="Z24" s="25">
        <f>Inputs!$B$39</f>
        <v/>
      </c>
      <c r="AA24" s="25">
        <f>Inputs!$B$40</f>
        <v/>
      </c>
      <c r="AB24" s="25">
        <f>Inputs!$B$41</f>
        <v/>
      </c>
      <c r="AC24" s="25">
        <f>Inputs!$B$42</f>
        <v/>
      </c>
      <c r="AD24" s="25">
        <f>Inputs!$B$43</f>
        <v/>
      </c>
      <c r="AE24" s="25">
        <f>Inputs!$B$44</f>
        <v/>
      </c>
      <c r="AF24" s="25">
        <f>Inputs!$B$45</f>
        <v/>
      </c>
      <c r="AG24" s="25">
        <f>Inputs!$B$46</f>
        <v/>
      </c>
      <c r="AH24" s="25">
        <f>Inputs!$B$47</f>
        <v/>
      </c>
      <c r="AI24" s="25">
        <f>Inputs!$B$48</f>
        <v/>
      </c>
      <c r="AJ24" s="25">
        <f>IF(ISNUMBER(Inputs!$B$51),Inputs!$B$51,"")</f>
        <v/>
      </c>
      <c r="AK24" s="25">
        <f>Inputs!$B$52</f>
        <v/>
      </c>
      <c r="AL24" s="25">
        <f>Inputs!$B$55</f>
        <v/>
      </c>
      <c r="AM24" s="25">
        <f>Inputs!$B$56</f>
        <v/>
      </c>
      <c r="AN24" s="25">
        <f>Inputs!$B$57</f>
        <v/>
      </c>
      <c r="AO24" s="25">
        <f>Inputs!$B$58</f>
        <v/>
      </c>
      <c r="AP24" s="25">
        <f>Inputs!$B$61*Sensitivity!$D$27</f>
        <v/>
      </c>
      <c r="AQ24" s="25">
        <f>Inputs!$B$62</f>
        <v/>
      </c>
      <c r="AR24" s="25">
        <f>1</f>
        <v/>
      </c>
      <c r="AS24" s="25" t="n">
        <v>1</v>
      </c>
      <c r="AT24" s="25" t="n">
        <v>2</v>
      </c>
      <c r="AU24" s="25" t="n">
        <v>3</v>
      </c>
      <c r="AV24" s="25" t="n">
        <v>4</v>
      </c>
      <c r="AW24" s="25" t="n">
        <v>5</v>
      </c>
      <c r="AX24" s="25">
        <f>MIN(5,MAX(1,ROUND($AL24,0)))</f>
        <v/>
      </c>
      <c r="AY24" s="25">
        <f>MAX(1,ROUND($W24,0))</f>
        <v/>
      </c>
      <c r="AZ24" s="25">
        <f>IF(1&lt;=$AX24,1,0)</f>
        <v/>
      </c>
      <c r="BA24" s="25">
        <f>IF(2&lt;=$AX24,1,0)</f>
        <v/>
      </c>
      <c r="BB24" s="25">
        <f>IF(3&lt;=$AX24,1,0)</f>
        <v/>
      </c>
      <c r="BC24" s="25">
        <f>IF(4&lt;=$AX24,1,0)</f>
        <v/>
      </c>
      <c r="BD24" s="25">
        <f>IF(5&lt;=$AX24,1,0)</f>
        <v/>
      </c>
      <c r="BE24" s="52">
        <f>(1+$AN24)^(1-1)</f>
        <v/>
      </c>
      <c r="BF24" s="52">
        <f>(1+$AN24)^(2-1)</f>
        <v/>
      </c>
      <c r="BG24" s="52">
        <f>(1+$AN24)^(3-1)</f>
        <v/>
      </c>
      <c r="BH24" s="52">
        <f>(1+$AN24)^(4-1)</f>
        <v/>
      </c>
      <c r="BI24" s="52">
        <f>(1+$AN24)^(5-1)</f>
        <v/>
      </c>
      <c r="BJ24" s="53">
        <f>1/(1+$AM24)^(1-1)</f>
        <v/>
      </c>
      <c r="BK24" s="53">
        <f>1/(1+$AM24)^(2-1)</f>
        <v/>
      </c>
      <c r="BL24" s="53">
        <f>1/(1+$AM24)^(3-1)</f>
        <v/>
      </c>
      <c r="BM24" s="53">
        <f>1/(1+$AM24)^(4-1)</f>
        <v/>
      </c>
      <c r="BN24" s="53">
        <f>1/(1+$AM24)^(5-1)</f>
        <v/>
      </c>
      <c r="BO24" s="53">
        <f>1/(1+$AM24)^1</f>
        <v/>
      </c>
      <c r="BP24" s="53">
        <f>1/(1+$AM24)^2</f>
        <v/>
      </c>
      <c r="BQ24" s="53">
        <f>1/(1+$AM24)^3</f>
        <v/>
      </c>
      <c r="BR24" s="53">
        <f>1/(1+$AM24)^4</f>
        <v/>
      </c>
      <c r="BS24" s="53">
        <f>1/(1+$AM24)^5</f>
        <v/>
      </c>
      <c r="BT24" s="43">
        <f>IF(AND($I24="Direct monthly estimate",$J24&gt;0),$J24,$D24*$K24*$L24)</f>
        <v/>
      </c>
      <c r="BU24" s="43">
        <f>$BT24*$B24*12*(1+$N24)^(1-1)</f>
        <v/>
      </c>
      <c r="BV24" s="43">
        <f>$BT24*$B24*12*(1+$N24)^(2-1)</f>
        <v/>
      </c>
      <c r="BW24" s="43">
        <f>$BT24*$B24*12*(1+$N24)^(3-1)</f>
        <v/>
      </c>
      <c r="BX24" s="43">
        <f>$BT24*$B24*12*(1+$N24)^(4-1)</f>
        <v/>
      </c>
      <c r="BY24" s="43">
        <f>$BT24*$B24*12*(1+$N24)^(5-1)</f>
        <v/>
      </c>
      <c r="BZ24" s="43">
        <f>$BU24/31536000*$M24</f>
        <v/>
      </c>
      <c r="CA24" s="43">
        <f>$BV24/31536000*$M24</f>
        <v/>
      </c>
      <c r="CB24" s="43">
        <f>$BW24/31536000*$M24</f>
        <v/>
      </c>
      <c r="CC24" s="43">
        <f>$BX24/31536000*$M24</f>
        <v/>
      </c>
      <c r="CD24" s="43">
        <f>$BY24/31536000*$M24</f>
        <v/>
      </c>
      <c r="CE24" s="43">
        <f>$BZ24*$AI24</f>
        <v/>
      </c>
      <c r="CF24" s="43">
        <f>$CA24*$AI24</f>
        <v/>
      </c>
      <c r="CG24" s="43">
        <f>$CB24*$AI24</f>
        <v/>
      </c>
      <c r="CH24" s="43">
        <f>$CC24*$AI24</f>
        <v/>
      </c>
      <c r="CI24" s="43">
        <f>$CD24*$AI24</f>
        <v/>
      </c>
      <c r="CJ24" s="44">
        <f>$O24*(1-$Q24)*(1-$P24)^(1-1)</f>
        <v/>
      </c>
      <c r="CK24" s="44">
        <f>$O24*(1-$Q24)*(1-$P24)^(2-1)</f>
        <v/>
      </c>
      <c r="CL24" s="44">
        <f>$O24*(1-$Q24)*(1-$P24)^(3-1)</f>
        <v/>
      </c>
      <c r="CM24" s="44">
        <f>$O24*(1-$Q24)*(1-$P24)^(4-1)</f>
        <v/>
      </c>
      <c r="CN24" s="44">
        <f>$O24*(1-$Q24)*(1-$P24)^(5-1)</f>
        <v/>
      </c>
      <c r="CO24" s="45">
        <f>$BU24/1000000*$CJ24</f>
        <v/>
      </c>
      <c r="CP24" s="45">
        <f>$BV24/1000000*$CK24</f>
        <v/>
      </c>
      <c r="CQ24" s="45">
        <f>$BW24/1000000*$CL24</f>
        <v/>
      </c>
      <c r="CR24" s="45">
        <f>$BX24/1000000*$CM24</f>
        <v/>
      </c>
      <c r="CS24" s="45">
        <f>$BY24/1000000*$CN24</f>
        <v/>
      </c>
      <c r="CT24" s="45">
        <f>($T24*$U24+$S24)*$BE24</f>
        <v/>
      </c>
      <c r="CU24" s="45">
        <f>($T24*$U24+$S24)*$BF24</f>
        <v/>
      </c>
      <c r="CV24" s="45">
        <f>($T24*$U24+$S24)*$BG24</f>
        <v/>
      </c>
      <c r="CW24" s="45">
        <f>($T24*$U24+$S24)*$BH24</f>
        <v/>
      </c>
      <c r="CX24" s="45">
        <f>($T24*$U24+$S24)*$BI24</f>
        <v/>
      </c>
      <c r="CY24" s="45">
        <f>IF(1=1,$R24,0)</f>
        <v/>
      </c>
      <c r="CZ24" s="45">
        <f>IF(2=1,$R24,0)</f>
        <v/>
      </c>
      <c r="DA24" s="45">
        <f>IF(3=1,$R24,0)</f>
        <v/>
      </c>
      <c r="DB24" s="45">
        <f>IF(4=1,$R24,0)</f>
        <v/>
      </c>
      <c r="DC24" s="45">
        <f>IF(5=1,$R24,0)</f>
        <v/>
      </c>
      <c r="DD24" s="45">
        <f>$CO24+$CT24+$CY24</f>
        <v/>
      </c>
      <c r="DE24" s="45">
        <f>$CP24+$CU24+$CZ24</f>
        <v/>
      </c>
      <c r="DF24" s="45">
        <f>$CQ24+$CV24+$DA24</f>
        <v/>
      </c>
      <c r="DG24" s="45">
        <f>$CR24+$CW24+$DB24</f>
        <v/>
      </c>
      <c r="DH24" s="45">
        <f>$CS24+$CX24+$DC24</f>
        <v/>
      </c>
      <c r="DI24" s="45">
        <f>$CY24</f>
        <v/>
      </c>
      <c r="DJ24" s="45">
        <f>$CZ24</f>
        <v/>
      </c>
      <c r="DK24" s="45">
        <f>$DA24</f>
        <v/>
      </c>
      <c r="DL24" s="45">
        <f>$DB24</f>
        <v/>
      </c>
      <c r="DM24" s="45">
        <f>$DC24</f>
        <v/>
      </c>
      <c r="DN24" s="45">
        <f>$CO24+$CT24</f>
        <v/>
      </c>
      <c r="DO24" s="45">
        <f>$CP24+$CU24</f>
        <v/>
      </c>
      <c r="DP24" s="45">
        <f>$CQ24+$CV24</f>
        <v/>
      </c>
      <c r="DQ24" s="45">
        <f>$CR24+$CW24</f>
        <v/>
      </c>
      <c r="DR24" s="45">
        <f>$CS24+$CX24</f>
        <v/>
      </c>
      <c r="DS24" s="45">
        <f>0</f>
        <v/>
      </c>
      <c r="DT24" s="45">
        <f>SUMPRODUCT($AZ24:$BD24,$DD24:$DH24)</f>
        <v/>
      </c>
      <c r="DU24" s="45">
        <f>SUM($DD24:$DF24)</f>
        <v/>
      </c>
      <c r="DV24" s="45">
        <f>SUM($DD24:$DH24)</f>
        <v/>
      </c>
      <c r="DW24" s="45">
        <f>SUMPRODUCT($AZ24:$BD24,$DI24:$DM24,$BJ24:$BN24)+SUMPRODUCT($AZ24:$BD24,$DN24:$DR24,$BO24:$BS24)-$DS24/(1+$AM24)^$AX24</f>
        <v/>
      </c>
      <c r="DX24" s="43">
        <f>IF($CE24&gt;0,ROUNDUP($CE24/$AP24,0),0)</f>
        <v/>
      </c>
      <c r="DY24" s="43">
        <f>IF($CF24&gt;0,ROUNDUP($CF24/$AP24,0),0)</f>
        <v/>
      </c>
      <c r="DZ24" s="43">
        <f>IF($CG24&gt;0,ROUNDUP($CG24/$AP24,0),0)</f>
        <v/>
      </c>
      <c r="EA24" s="43">
        <f>IF($CH24&gt;0,ROUNDUP($CH24/$AP24,0),0)</f>
        <v/>
      </c>
      <c r="EB24" s="43">
        <f>IF($CI24&gt;0,ROUNDUP($CI24/$AP24,0),0)</f>
        <v/>
      </c>
      <c r="EC24" s="43">
        <f>MAX($DX24,0)</f>
        <v/>
      </c>
      <c r="ED24" s="43">
        <f>MAX($DY24,$EC24)</f>
        <v/>
      </c>
      <c r="EE24" s="43">
        <f>MAX($DZ24,$ED24)</f>
        <v/>
      </c>
      <c r="EF24" s="43">
        <f>MAX($EA24,$EE24)</f>
        <v/>
      </c>
      <c r="EG24" s="43">
        <f>MAX($EB24,$EF24)</f>
        <v/>
      </c>
      <c r="EH24" s="43">
        <f>$EC24-0</f>
        <v/>
      </c>
      <c r="EI24" s="43">
        <f>$ED24-$EC24</f>
        <v/>
      </c>
      <c r="EJ24" s="43">
        <f>$EE24-$ED24</f>
        <v/>
      </c>
      <c r="EK24" s="43">
        <f>$EF24-$EE24</f>
        <v/>
      </c>
      <c r="EL24" s="43">
        <f>$EG24-$EF24</f>
        <v/>
      </c>
      <c r="EM24" s="43">
        <f>0</f>
        <v/>
      </c>
      <c r="EN24" s="43">
        <f>(1+$AY24=2)*$ER24</f>
        <v/>
      </c>
      <c r="EO24" s="43">
        <f>(1+$AY24=3)*$ER24+(2+$AY24=3)*$ES24</f>
        <v/>
      </c>
      <c r="EP24" s="43">
        <f>(1+$AY24=4)*$ER24+(2+$AY24=4)*$ES24+(3+$AY24=4)*$ET24</f>
        <v/>
      </c>
      <c r="EQ24" s="43">
        <f>(1+$AY24=5)*$ER24+(2+$AY24=5)*$ES24+(3+$AY24=5)*$ET24+(4+$AY24=5)*$EU24</f>
        <v/>
      </c>
      <c r="ER24" s="43">
        <f>$EH24+$EM24</f>
        <v/>
      </c>
      <c r="ES24" s="43">
        <f>$EI24+$EN24</f>
        <v/>
      </c>
      <c r="ET24" s="43">
        <f>$EJ24+$EO24</f>
        <v/>
      </c>
      <c r="EU24" s="43">
        <f>$EK24+$EP24</f>
        <v/>
      </c>
      <c r="EV24" s="43">
        <f>$EL24+$EQ24</f>
        <v/>
      </c>
      <c r="EW24" s="45">
        <f>$ER24*$V24</f>
        <v/>
      </c>
      <c r="EX24" s="45">
        <f>$ES24*$V24</f>
        <v/>
      </c>
      <c r="EY24" s="45">
        <f>$ET24*$V24</f>
        <v/>
      </c>
      <c r="EZ24" s="45">
        <f>$EU24*$V24</f>
        <v/>
      </c>
      <c r="FA24" s="45">
        <f>$EV24*$V24</f>
        <v/>
      </c>
      <c r="FB24" s="45">
        <f>$EM24*$V24*$X24</f>
        <v/>
      </c>
      <c r="FC24" s="45">
        <f>$EN24*$V24*$X24</f>
        <v/>
      </c>
      <c r="FD24" s="45">
        <f>$EO24*$V24*$X24</f>
        <v/>
      </c>
      <c r="FE24" s="45">
        <f>$EP24*$V24*$X24</f>
        <v/>
      </c>
      <c r="FF24" s="45">
        <f>$EQ24*$V24*$X24</f>
        <v/>
      </c>
      <c r="FG24" s="45">
        <f>$EC24*$V24*(1-$X24)/$AY24</f>
        <v/>
      </c>
      <c r="FH24" s="45">
        <f>$ED24*$V24*(1-$X24)/$AY24</f>
        <v/>
      </c>
      <c r="FI24" s="45">
        <f>$EE24*$V24*(1-$X24)/$AY24</f>
        <v/>
      </c>
      <c r="FJ24" s="45">
        <f>$EF24*$V24*(1-$X24)/$AY24</f>
        <v/>
      </c>
      <c r="FK24" s="45">
        <f>$EG24*$V24*(1-$X24)/$AY24</f>
        <v/>
      </c>
      <c r="FL24" s="45">
        <f>$EC24*$Y24*$Z24*$AA24*8760*$BE24</f>
        <v/>
      </c>
      <c r="FM24" s="45">
        <f>$ED24*$Y24*$Z24*$AA24*8760*$BF24</f>
        <v/>
      </c>
      <c r="FN24" s="45">
        <f>$EE24*$Y24*$Z24*$AA24*8760*$BG24</f>
        <v/>
      </c>
      <c r="FO24" s="45">
        <f>$EF24*$Y24*$Z24*$AA24*8760*$BH24</f>
        <v/>
      </c>
      <c r="FP24" s="45">
        <f>$EG24*$Y24*$Z24*$AA24*8760*$BI24</f>
        <v/>
      </c>
      <c r="FQ24" s="45">
        <f>IF($AC24&gt;0,$AC24,$EC24*$Y24*$AB24*12)*$BE24</f>
        <v/>
      </c>
      <c r="FR24" s="45">
        <f>IF($AC24&gt;0,$AC24,$ED24*$Y24*$AB24*12)*$BF24</f>
        <v/>
      </c>
      <c r="FS24" s="45">
        <f>IF($AC24&gt;0,$AC24,$EE24*$Y24*$AB24*12)*$BG24</f>
        <v/>
      </c>
      <c r="FT24" s="45">
        <f>IF($AC24&gt;0,$AC24,$EF24*$Y24*$AB24*12)*$BH24</f>
        <v/>
      </c>
      <c r="FU24" s="45">
        <f>IF($AC24&gt;0,$AC24,$EG24*$Y24*$AB24*12)*$BI24</f>
        <v/>
      </c>
      <c r="FV24" s="45">
        <f>$EC24*$V24*$AD24*$BE24</f>
        <v/>
      </c>
      <c r="FW24" s="45">
        <f>$ED24*$V24*$AD24*$BF24</f>
        <v/>
      </c>
      <c r="FX24" s="45">
        <f>$EE24*$V24*$AD24*$BG24</f>
        <v/>
      </c>
      <c r="FY24" s="45">
        <f>$EF24*$V24*$AD24*$BH24</f>
        <v/>
      </c>
      <c r="FZ24" s="45">
        <f>$EG24*$V24*$AD24*$BI24</f>
        <v/>
      </c>
      <c r="GA24" s="45">
        <f>$AE24*$BE24</f>
        <v/>
      </c>
      <c r="GB24" s="45">
        <f>$AE24*$BF24</f>
        <v/>
      </c>
      <c r="GC24" s="45">
        <f>$AE24*$BG24</f>
        <v/>
      </c>
      <c r="GD24" s="45">
        <f>$AE24*$BH24</f>
        <v/>
      </c>
      <c r="GE24" s="45">
        <f>$AE24*$BI24</f>
        <v/>
      </c>
      <c r="GF24" s="45">
        <f>$AF24*$AG24*$BE24</f>
        <v/>
      </c>
      <c r="GG24" s="45">
        <f>$AF24*$AG24*$BF24</f>
        <v/>
      </c>
      <c r="GH24" s="45">
        <f>$AF24*$AG24*$BG24</f>
        <v/>
      </c>
      <c r="GI24" s="45">
        <f>$AF24*$AG24*$BH24</f>
        <v/>
      </c>
      <c r="GJ24" s="45">
        <f>$AF24*$AG24*$BI24</f>
        <v/>
      </c>
      <c r="GK24" s="45">
        <f>IF(1=1,$AH24,0)</f>
        <v/>
      </c>
      <c r="GL24" s="45">
        <f>IF(2=1,$AH24,0)</f>
        <v/>
      </c>
      <c r="GM24" s="45">
        <f>IF(3=1,$AH24,0)</f>
        <v/>
      </c>
      <c r="GN24" s="45">
        <f>IF(4=1,$AH24,0)</f>
        <v/>
      </c>
      <c r="GO24" s="45">
        <f>IF(5=1,$AH24,0)</f>
        <v/>
      </c>
      <c r="GP24" s="45">
        <f>$FG24+$FL24+$FQ24+$FV24+$GA24+$GF24+$GK24</f>
        <v/>
      </c>
      <c r="GQ24" s="45">
        <f>$FH24+$FM24+$FR24+$FW24+$GB24+$GG24+$GL24</f>
        <v/>
      </c>
      <c r="GR24" s="45">
        <f>$FI24+$FN24+$FS24+$FX24+$GC24+$GH24+$GM24</f>
        <v/>
      </c>
      <c r="GS24" s="45">
        <f>$FJ24+$FO24+$FT24+$FY24+$GD24+$GI24+$GN24</f>
        <v/>
      </c>
      <c r="GT24" s="45">
        <f>$FK24+$FP24+$FU24+$FZ24+$GE24+$GJ24+$GO24</f>
        <v/>
      </c>
      <c r="GU24" s="45">
        <f>$EW24-$FB24+$GK24</f>
        <v/>
      </c>
      <c r="GV24" s="45">
        <f>$EX24-$FC24+$GL24</f>
        <v/>
      </c>
      <c r="GW24" s="45">
        <f>$EY24-$FD24+$GM24</f>
        <v/>
      </c>
      <c r="GX24" s="45">
        <f>$EZ24-$FE24+$GN24</f>
        <v/>
      </c>
      <c r="GY24" s="45">
        <f>$FA24-$FF24+$GO24</f>
        <v/>
      </c>
      <c r="GZ24" s="45">
        <f>$FL24+$FQ24+$FV24+$GA24+$GF24</f>
        <v/>
      </c>
      <c r="HA24" s="45">
        <f>$FM24+$FR24+$FW24+$GB24+$GG24</f>
        <v/>
      </c>
      <c r="HB24" s="45">
        <f>$FN24+$FS24+$FX24+$GC24+$GH24</f>
        <v/>
      </c>
      <c r="HC24" s="45">
        <f>$FO24+$FT24+$FY24+$GD24+$GI24</f>
        <v/>
      </c>
      <c r="HD24" s="45">
        <f>$FP24+$FU24+$FZ24+$GE24+$GJ24</f>
        <v/>
      </c>
      <c r="HE24" s="45">
        <f>((1&lt;=$AX24)*(1&gt;$AX24-$AY24))*$ER24*$V24*MAX(0,1-(1-$X24)*($AX24-1+1)/$AY24)+((2&lt;=$AX24)*(2&gt;$AX24-$AY24))*$ES24*$V24*MAX(0,1-(1-$X24)*($AX24-2+1)/$AY24)+((3&lt;=$AX24)*(3&gt;$AX24-$AY24))*$ET24*$V24*MAX(0,1-(1-$X24)*($AX24-3+1)/$AY24)+((4&lt;=$AX24)*(4&gt;$AX24-$AY24))*$EU24*$V24*MAX(0,1-(1-$X24)*($AX24-4+1)/$AY24)+((5&lt;=$AX24)*(5&gt;$AX24-$AY24))*$EV24*$V24*MAX(0,1-(1-$X24)*($AX24-5+1)/$AY24)</f>
        <v/>
      </c>
      <c r="HF24" s="45">
        <f>SUMPRODUCT($AZ24:$BD24,$GP24:$GT24)</f>
        <v/>
      </c>
      <c r="HG24" s="45">
        <f>SUM($GP24:$GR24)</f>
        <v/>
      </c>
      <c r="HH24" s="45">
        <f>SUM($GP24:$GT24)</f>
        <v/>
      </c>
      <c r="HI24" s="45">
        <f>SUMPRODUCT($AZ24:$BD24,$GU24:$GY24,$BJ24:$BN24)+SUMPRODUCT($AZ24:$BD24,$GZ24:$HD24,$BO24:$BS24)-$HE24/(1+$AM24)^$AX24</f>
        <v/>
      </c>
      <c r="HJ24" s="46">
        <f>MIN(1,MAX(0,IF(ISNUMBER($AJ24),$AJ24,IF($F24+$G24+$H24&gt;0,($G24+$H24)/($F24+$G24+$H24),0))*$AR24))</f>
        <v/>
      </c>
      <c r="HK24" s="25">
        <f>IF($HJ24&gt;0,1,0)</f>
        <v/>
      </c>
      <c r="HL24" s="25">
        <f>IF($HJ24&lt;1,1,0)</f>
        <v/>
      </c>
      <c r="HM24" s="43">
        <f>IF($CE24*$HJ24&gt;0,ROUNDUP($CE24*$HJ24/$AP24,0),0)</f>
        <v/>
      </c>
      <c r="HN24" s="43">
        <f>IF($CF24*$HJ24&gt;0,ROUNDUP($CF24*$HJ24/$AP24,0),0)</f>
        <v/>
      </c>
      <c r="HO24" s="43">
        <f>IF($CG24*$HJ24&gt;0,ROUNDUP($CG24*$HJ24/$AP24,0),0)</f>
        <v/>
      </c>
      <c r="HP24" s="43">
        <f>IF($CH24*$HJ24&gt;0,ROUNDUP($CH24*$HJ24/$AP24,0),0)</f>
        <v/>
      </c>
      <c r="HQ24" s="43">
        <f>IF($CI24*$HJ24&gt;0,ROUNDUP($CI24*$HJ24/$AP24,0),0)</f>
        <v/>
      </c>
      <c r="HR24" s="43">
        <f>MAX($HM24,0)</f>
        <v/>
      </c>
      <c r="HS24" s="43">
        <f>MAX($HN24,$HR24)</f>
        <v/>
      </c>
      <c r="HT24" s="43">
        <f>MAX($HO24,$HS24)</f>
        <v/>
      </c>
      <c r="HU24" s="43">
        <f>MAX($HP24,$HT24)</f>
        <v/>
      </c>
      <c r="HV24" s="43">
        <f>MAX($HQ24,$HU24)</f>
        <v/>
      </c>
      <c r="HW24" s="43">
        <f>$HR24-0</f>
        <v/>
      </c>
      <c r="HX24" s="43">
        <f>$HS24-$HR24</f>
        <v/>
      </c>
      <c r="HY24" s="43">
        <f>$HT24-$HS24</f>
        <v/>
      </c>
      <c r="HZ24" s="43">
        <f>$HU24-$HT24</f>
        <v/>
      </c>
      <c r="IA24" s="43">
        <f>$HV24-$HU24</f>
        <v/>
      </c>
      <c r="IB24" s="43">
        <f>0</f>
        <v/>
      </c>
      <c r="IC24" s="43">
        <f>(1+$AY24=2)*$IG24</f>
        <v/>
      </c>
      <c r="ID24" s="43">
        <f>(1+$AY24=3)*$IG24+(2+$AY24=3)*$IH24</f>
        <v/>
      </c>
      <c r="IE24" s="43">
        <f>(1+$AY24=4)*$IG24+(2+$AY24=4)*$IH24+(3+$AY24=4)*$II24</f>
        <v/>
      </c>
      <c r="IF24" s="43">
        <f>(1+$AY24=5)*$IG24+(2+$AY24=5)*$IH24+(3+$AY24=5)*$II24+(4+$AY24=5)*$IJ24</f>
        <v/>
      </c>
      <c r="IG24" s="43">
        <f>$HW24+$IB24</f>
        <v/>
      </c>
      <c r="IH24" s="43">
        <f>$HX24+$IC24</f>
        <v/>
      </c>
      <c r="II24" s="43">
        <f>$HY24+$ID24</f>
        <v/>
      </c>
      <c r="IJ24" s="43">
        <f>$HZ24+$IE24</f>
        <v/>
      </c>
      <c r="IK24" s="43">
        <f>$IA24+$IF24</f>
        <v/>
      </c>
      <c r="IL24" s="45">
        <f>$IG24*$V24</f>
        <v/>
      </c>
      <c r="IM24" s="45">
        <f>$IH24*$V24</f>
        <v/>
      </c>
      <c r="IN24" s="45">
        <f>$II24*$V24</f>
        <v/>
      </c>
      <c r="IO24" s="45">
        <f>$IJ24*$V24</f>
        <v/>
      </c>
      <c r="IP24" s="45">
        <f>$IK24*$V24</f>
        <v/>
      </c>
      <c r="IQ24" s="45">
        <f>$IB24*$V24*$X24</f>
        <v/>
      </c>
      <c r="IR24" s="45">
        <f>$IC24*$V24*$X24</f>
        <v/>
      </c>
      <c r="IS24" s="45">
        <f>$ID24*$V24*$X24</f>
        <v/>
      </c>
      <c r="IT24" s="45">
        <f>$IE24*$V24*$X24</f>
        <v/>
      </c>
      <c r="IU24" s="45">
        <f>$IF24*$V24*$X24</f>
        <v/>
      </c>
      <c r="IV24" s="45">
        <f>$HR24*$V24*(1-$X24)/$AY24</f>
        <v/>
      </c>
      <c r="IW24" s="45">
        <f>$HS24*$V24*(1-$X24)/$AY24</f>
        <v/>
      </c>
      <c r="IX24" s="45">
        <f>$HT24*$V24*(1-$X24)/$AY24</f>
        <v/>
      </c>
      <c r="IY24" s="45">
        <f>$HU24*$V24*(1-$X24)/$AY24</f>
        <v/>
      </c>
      <c r="IZ24" s="45">
        <f>$HV24*$V24*(1-$X24)/$AY24</f>
        <v/>
      </c>
      <c r="JA24" s="45">
        <f>$HR24*$Y24*$Z24*$AA24*8760*$BE24</f>
        <v/>
      </c>
      <c r="JB24" s="45">
        <f>$HS24*$Y24*$Z24*$AA24*8760*$BF24</f>
        <v/>
      </c>
      <c r="JC24" s="45">
        <f>$HT24*$Y24*$Z24*$AA24*8760*$BG24</f>
        <v/>
      </c>
      <c r="JD24" s="45">
        <f>$HU24*$Y24*$Z24*$AA24*8760*$BH24</f>
        <v/>
      </c>
      <c r="JE24" s="45">
        <f>$HV24*$Y24*$Z24*$AA24*8760*$BI24</f>
        <v/>
      </c>
      <c r="JF24" s="45">
        <f>IF($AC24&gt;0,$AC24*$HK24,$HR24*$Y24*$AB24*12)*$BE24</f>
        <v/>
      </c>
      <c r="JG24" s="45">
        <f>IF($AC24&gt;0,$AC24*$HK24,$HS24*$Y24*$AB24*12)*$BF24</f>
        <v/>
      </c>
      <c r="JH24" s="45">
        <f>IF($AC24&gt;0,$AC24*$HK24,$HT24*$Y24*$AB24*12)*$BG24</f>
        <v/>
      </c>
      <c r="JI24" s="45">
        <f>IF($AC24&gt;0,$AC24*$HK24,$HU24*$Y24*$AB24*12)*$BH24</f>
        <v/>
      </c>
      <c r="JJ24" s="45">
        <f>IF($AC24&gt;0,$AC24*$HK24,$HV24*$Y24*$AB24*12)*$BI24</f>
        <v/>
      </c>
      <c r="JK24" s="45">
        <f>$HR24*$V24*$AD24*$BE24</f>
        <v/>
      </c>
      <c r="JL24" s="45">
        <f>$HS24*$V24*$AD24*$BF24</f>
        <v/>
      </c>
      <c r="JM24" s="45">
        <f>$HT24*$V24*$AD24*$BG24</f>
        <v/>
      </c>
      <c r="JN24" s="45">
        <f>$HU24*$V24*$AD24*$BH24</f>
        <v/>
      </c>
      <c r="JO24" s="45">
        <f>$HV24*$V24*$AD24*$BI24</f>
        <v/>
      </c>
      <c r="JP24" s="45">
        <f>$AE24*$BE24*$HK24</f>
        <v/>
      </c>
      <c r="JQ24" s="45">
        <f>$AE24*$BF24*$HK24</f>
        <v/>
      </c>
      <c r="JR24" s="45">
        <f>$AE24*$BG24*$HK24</f>
        <v/>
      </c>
      <c r="JS24" s="45">
        <f>$AE24*$BH24*$HK24</f>
        <v/>
      </c>
      <c r="JT24" s="45">
        <f>$AE24*$BI24*$HK24</f>
        <v/>
      </c>
      <c r="JU24" s="45">
        <f>$AQ24*$AG24*$BE24*$HK24</f>
        <v/>
      </c>
      <c r="JV24" s="45">
        <f>$AQ24*$AG24*$BF24*$HK24</f>
        <v/>
      </c>
      <c r="JW24" s="45">
        <f>$AQ24*$AG24*$BG24*$HK24</f>
        <v/>
      </c>
      <c r="JX24" s="45">
        <f>$AQ24*$AG24*$BH24*$HK24</f>
        <v/>
      </c>
      <c r="JY24" s="45">
        <f>$AQ24*$AG24*$BI24*$HK24</f>
        <v/>
      </c>
      <c r="JZ24" s="45">
        <f>$BU24*(1-$HJ24)/1000000*$CJ24</f>
        <v/>
      </c>
      <c r="KA24" s="45">
        <f>$BV24*(1-$HJ24)/1000000*$CK24</f>
        <v/>
      </c>
      <c r="KB24" s="45">
        <f>$BW24*(1-$HJ24)/1000000*$CL24</f>
        <v/>
      </c>
      <c r="KC24" s="45">
        <f>$BX24*(1-$HJ24)/1000000*$CM24</f>
        <v/>
      </c>
      <c r="KD24" s="45">
        <f>$BY24*(1-$HJ24)/1000000*$CN24</f>
        <v/>
      </c>
      <c r="KE24" s="45">
        <f>$CT24*$HL24</f>
        <v/>
      </c>
      <c r="KF24" s="45">
        <f>$CU24*$HL24</f>
        <v/>
      </c>
      <c r="KG24" s="45">
        <f>$CV24*$HL24</f>
        <v/>
      </c>
      <c r="KH24" s="45">
        <f>$CW24*$HL24</f>
        <v/>
      </c>
      <c r="KI24" s="45">
        <f>$CX24*$HL24</f>
        <v/>
      </c>
      <c r="KJ24" s="45">
        <f>IF(1=1,$R24*$HL24+$AH24*$HK24+$AK24,0)</f>
        <v/>
      </c>
      <c r="KK24" s="45">
        <f>IF(2=1,$R24*$HL24+$AH24*$HK24+$AK24,0)</f>
        <v/>
      </c>
      <c r="KL24" s="45">
        <f>IF(3=1,$R24*$HL24+$AH24*$HK24+$AK24,0)</f>
        <v/>
      </c>
      <c r="KM24" s="45">
        <f>IF(4=1,$R24*$HL24+$AH24*$HK24+$AK24,0)</f>
        <v/>
      </c>
      <c r="KN24" s="45">
        <f>IF(5=1,$R24*$HL24+$AH24*$HK24+$AK24,0)</f>
        <v/>
      </c>
      <c r="KO24" s="45">
        <f>$IV24+$JA24+$JF24+$JK24+$JP24+$JU24+$JZ24+$KE24+$KJ24</f>
        <v/>
      </c>
      <c r="KP24" s="45">
        <f>$IW24+$JB24+$JG24+$JL24+$JQ24+$JV24+$KA24+$KF24+$KK24</f>
        <v/>
      </c>
      <c r="KQ24" s="45">
        <f>$IX24+$JC24+$JH24+$JM24+$JR24+$JW24+$KB24+$KG24+$KL24</f>
        <v/>
      </c>
      <c r="KR24" s="45">
        <f>$IY24+$JD24+$JI24+$JN24+$JS24+$JX24+$KC24+$KH24+$KM24</f>
        <v/>
      </c>
      <c r="KS24" s="45">
        <f>$IZ24+$JE24+$JJ24+$JO24+$JT24+$JY24+$KD24+$KI24+$KN24</f>
        <v/>
      </c>
      <c r="KT24" s="45">
        <f>$IL24-$IQ24+$KJ24</f>
        <v/>
      </c>
      <c r="KU24" s="45">
        <f>$IM24-$IR24+$KK24</f>
        <v/>
      </c>
      <c r="KV24" s="45">
        <f>$IN24-$IS24+$KL24</f>
        <v/>
      </c>
      <c r="KW24" s="45">
        <f>$IO24-$IT24+$KM24</f>
        <v/>
      </c>
      <c r="KX24" s="45">
        <f>$IP24-$IU24+$KN24</f>
        <v/>
      </c>
      <c r="KY24" s="45">
        <f>$JA24+$JF24+$JK24+$JP24+$JU24+$JZ24+$KE24</f>
        <v/>
      </c>
      <c r="KZ24" s="45">
        <f>$JB24+$JG24+$JL24+$JQ24+$JV24+$KA24+$KF24</f>
        <v/>
      </c>
      <c r="LA24" s="45">
        <f>$JC24+$JH24+$JM24+$JR24+$JW24+$KB24+$KG24</f>
        <v/>
      </c>
      <c r="LB24" s="45">
        <f>$JD24+$JI24+$JN24+$JS24+$JX24+$KC24+$KH24</f>
        <v/>
      </c>
      <c r="LC24" s="45">
        <f>$JE24+$JJ24+$JO24+$JT24+$JY24+$KD24+$KI24</f>
        <v/>
      </c>
      <c r="LD24" s="45">
        <f>((1&lt;=$AX24)*(1&gt;$AX24-$AY24))*$IG24*$V24*MAX(0,1-(1-$X24)*($AX24-1+1)/$AY24)+((2&lt;=$AX24)*(2&gt;$AX24-$AY24))*$IH24*$V24*MAX(0,1-(1-$X24)*($AX24-2+1)/$AY24)+((3&lt;=$AX24)*(3&gt;$AX24-$AY24))*$II24*$V24*MAX(0,1-(1-$X24)*($AX24-3+1)/$AY24)+((4&lt;=$AX24)*(4&gt;$AX24-$AY24))*$IJ24*$V24*MAX(0,1-(1-$X24)*($AX24-4+1)/$AY24)+((5&lt;=$AX24)*(5&gt;$AX24-$AY24))*$IK24*$V24*MAX(0,1-(1-$X24)*($AX24-5+1)/$AY24)</f>
        <v/>
      </c>
      <c r="LE24" s="45">
        <f>SUMPRODUCT($AZ24:$BD24,$KO24:$KS24)</f>
        <v/>
      </c>
      <c r="LF24" s="45">
        <f>SUM($KO24:$KQ24)</f>
        <v/>
      </c>
      <c r="LG24" s="45">
        <f>SUM($KO24:$KS24)</f>
        <v/>
      </c>
      <c r="LH24" s="45">
        <f>SUMPRODUCT($AZ24:$BD24,$KT24:$KX24,$BJ24:$BN24)+SUMPRODUCT($AZ24:$BD24,$KY24:$LC24,$BO24:$BS24)-$LD24/(1+$AM24)^$AX24</f>
        <v/>
      </c>
      <c r="LI24" s="43">
        <f>$BU24/1000000</f>
        <v/>
      </c>
      <c r="LJ24" s="44">
        <f>IF($LI24&gt;0,$DD24/$LI24,0)</f>
        <v/>
      </c>
      <c r="LK24" s="44">
        <f>IF($LI24&gt;0,$GP24/$LI24,0)</f>
        <v/>
      </c>
      <c r="LL24" s="44">
        <f>IF($LI24&gt;0,$KO24/$LI24,0)</f>
        <v/>
      </c>
      <c r="LM24" s="43">
        <f>$AP24*31536000/1000000</f>
        <v/>
      </c>
      <c r="LN24" s="43">
        <f>$EC24*$LM24</f>
        <v/>
      </c>
      <c r="LO24" s="45">
        <f>$FG24+$FL24+$FQ24+$FV24+$GA24+$GF24</f>
        <v/>
      </c>
      <c r="LP24" s="46">
        <f>IF($LN24*$CJ24&gt;0,MAX(0,($LO24-$CT24)/($LN24*$CJ24)),0)</f>
        <v/>
      </c>
      <c r="LQ24" s="46">
        <f>IF($LN24&gt;0,$LI24/$LN24,0)</f>
        <v/>
      </c>
      <c r="LR24" s="46">
        <f>1/($M24*$AI24)</f>
        <v/>
      </c>
      <c r="LS24" s="43">
        <f>$HR24*$LM24</f>
        <v/>
      </c>
      <c r="LT24" s="45">
        <f>$IV24+$JA24+$JF24+$JK24+$JP24+$JU24</f>
        <v/>
      </c>
      <c r="LU24" s="46">
        <f>IF($LS24*$CJ24&gt;0,$LT24/($LS24*$CJ24),0)</f>
        <v/>
      </c>
      <c r="LV24" s="46">
        <f>IF($LS24&gt;0,$LI24*$HJ24/$LS24,0)</f>
        <v/>
      </c>
      <c r="LW24" s="45">
        <f>$V24*(1-$X24)/$AY24+$Y24*$Z24*$AA24*8760+IF($AC24&gt;0,0,$Y24*$AB24*12)+$V24*$AD24</f>
        <v/>
      </c>
      <c r="LX24" s="46">
        <f>IF($LM24*$CJ24&gt;0,$LW24/($LM24*$CJ24),0)</f>
        <v/>
      </c>
      <c r="LY24" s="44">
        <f>IF($LM24*$LR24&gt;0,$LW24/($LM24*$LR24),0)</f>
        <v/>
      </c>
      <c r="LZ24" s="45">
        <f>$AE24+$AF24*$AG24+IF($AC24&gt;0,$AC24,0)-$CT24</f>
        <v/>
      </c>
      <c r="MA24" s="43">
        <f>IF($CJ24&gt;$LY24,MAX(0,$LZ24)/($CJ24-$LY24)*1000000,"Not reachable")</f>
        <v/>
      </c>
      <c r="MB24" s="47">
        <f>IF(AND(ISNUMBER($MA24),$BU24&gt;0),$MA24/$BU24,"n/a")</f>
        <v/>
      </c>
      <c r="MC24" s="47">
        <f>$B24*MAX(0,$D24-1)*$E24</f>
        <v/>
      </c>
      <c r="MD24" s="45">
        <f>$MC24*$C24</f>
        <v/>
      </c>
      <c r="ME24" s="45">
        <f>$MD24*SUMPRODUCT($AZ24:$BD24,$BO24:$BS24)</f>
        <v/>
      </c>
      <c r="MF24" s="45">
        <f>IF($AO24="Yes",$ME24-$DW24,0)</f>
        <v/>
      </c>
      <c r="MG24" s="45">
        <f>IF($AO24="Yes",$ME24-$HI24,0)</f>
        <v/>
      </c>
      <c r="MH24" s="45">
        <f>IF($AO24="Yes",$ME24-$LH24,0)</f>
        <v/>
      </c>
      <c r="MI24" s="45">
        <f>IF($AO24="Yes",$MD24-$DD24,0)</f>
        <v/>
      </c>
      <c r="MJ24" s="25">
        <f>IF(AND($DW24&lt;=$HI24,$DW24&lt;=$LH24),"Rent the Frontier",IF($HI24&lt;=$LH24,"Own the Frontier","Hybrid"))</f>
        <v/>
      </c>
      <c r="MK24" s="25">
        <f>IF(AND($DT24&lt;=$HF24,$DT24&lt;=$LE24),"Rent the Frontier",IF($HF24&lt;=$LE24,"Own the Frontier","Hybrid"))</f>
        <v/>
      </c>
    </row>
    <row r="25">
      <c r="A25" s="25">
        <f>Sensitivity!A28&amp;" ("&amp;Sensitivity!C28&amp;")"</f>
        <v/>
      </c>
      <c r="B25" s="25">
        <f>Inputs!$B$5</f>
        <v/>
      </c>
      <c r="C25" s="25">
        <f>Inputs!$B$6</f>
        <v/>
      </c>
      <c r="D25" s="25">
        <f>Inputs!$B$7</f>
        <v/>
      </c>
      <c r="E25" s="25">
        <f>Inputs!$B$8</f>
        <v/>
      </c>
      <c r="F25" s="25">
        <f>Inputs!$B$12</f>
        <v/>
      </c>
      <c r="G25" s="25">
        <f>Inputs!$B$13</f>
        <v/>
      </c>
      <c r="H25" s="25">
        <f>Inputs!$B$14</f>
        <v/>
      </c>
      <c r="I25" s="25">
        <f>Inputs!$B$18</f>
        <v/>
      </c>
      <c r="J25" s="25">
        <f>Inputs!$B$19</f>
        <v/>
      </c>
      <c r="K25" s="25">
        <f>Inputs!$B$20</f>
        <v/>
      </c>
      <c r="L25" s="25">
        <f>Inputs!$B$21</f>
        <v/>
      </c>
      <c r="M25" s="25">
        <f>Inputs!$B$22</f>
        <v/>
      </c>
      <c r="N25" s="25">
        <f>Inputs!$B$23*Sensitivity!$D$28</f>
        <v/>
      </c>
      <c r="O25" s="25">
        <f>Inputs!$B$26</f>
        <v/>
      </c>
      <c r="P25" s="25">
        <f>Inputs!$B$27</f>
        <v/>
      </c>
      <c r="Q25" s="25">
        <f>Inputs!$B$28</f>
        <v/>
      </c>
      <c r="R25" s="25">
        <f>Inputs!$B$29</f>
        <v/>
      </c>
      <c r="S25" s="25">
        <f>Inputs!$B$30</f>
        <v/>
      </c>
      <c r="T25" s="25">
        <f>Inputs!$B$31</f>
        <v/>
      </c>
      <c r="U25" s="25">
        <f>Inputs!$B$32</f>
        <v/>
      </c>
      <c r="V25" s="25">
        <f>Inputs!$B$35</f>
        <v/>
      </c>
      <c r="W25" s="25">
        <f>Inputs!$B$36</f>
        <v/>
      </c>
      <c r="X25" s="25">
        <f>Inputs!$B$37</f>
        <v/>
      </c>
      <c r="Y25" s="25">
        <f>Inputs!$B$38</f>
        <v/>
      </c>
      <c r="Z25" s="25">
        <f>Inputs!$B$39</f>
        <v/>
      </c>
      <c r="AA25" s="25">
        <f>Inputs!$B$40</f>
        <v/>
      </c>
      <c r="AB25" s="25">
        <f>Inputs!$B$41</f>
        <v/>
      </c>
      <c r="AC25" s="25">
        <f>Inputs!$B$42</f>
        <v/>
      </c>
      <c r="AD25" s="25">
        <f>Inputs!$B$43</f>
        <v/>
      </c>
      <c r="AE25" s="25">
        <f>Inputs!$B$44</f>
        <v/>
      </c>
      <c r="AF25" s="25">
        <f>Inputs!$B$45</f>
        <v/>
      </c>
      <c r="AG25" s="25">
        <f>Inputs!$B$46</f>
        <v/>
      </c>
      <c r="AH25" s="25">
        <f>Inputs!$B$47</f>
        <v/>
      </c>
      <c r="AI25" s="25">
        <f>Inputs!$B$48</f>
        <v/>
      </c>
      <c r="AJ25" s="25">
        <f>IF(ISNUMBER(Inputs!$B$51),Inputs!$B$51,"")</f>
        <v/>
      </c>
      <c r="AK25" s="25">
        <f>Inputs!$B$52</f>
        <v/>
      </c>
      <c r="AL25" s="25">
        <f>Inputs!$B$55</f>
        <v/>
      </c>
      <c r="AM25" s="25">
        <f>Inputs!$B$56</f>
        <v/>
      </c>
      <c r="AN25" s="25">
        <f>Inputs!$B$57</f>
        <v/>
      </c>
      <c r="AO25" s="25">
        <f>Inputs!$B$58</f>
        <v/>
      </c>
      <c r="AP25" s="25">
        <f>Inputs!$B$61</f>
        <v/>
      </c>
      <c r="AQ25" s="25">
        <f>Inputs!$B$62</f>
        <v/>
      </c>
      <c r="AR25" s="25">
        <f>1</f>
        <v/>
      </c>
      <c r="AS25" s="25" t="n">
        <v>1</v>
      </c>
      <c r="AT25" s="25" t="n">
        <v>2</v>
      </c>
      <c r="AU25" s="25" t="n">
        <v>3</v>
      </c>
      <c r="AV25" s="25" t="n">
        <v>4</v>
      </c>
      <c r="AW25" s="25" t="n">
        <v>5</v>
      </c>
      <c r="AX25" s="25">
        <f>MIN(5,MAX(1,ROUND($AL25,0)))</f>
        <v/>
      </c>
      <c r="AY25" s="25">
        <f>MAX(1,ROUND($W25,0))</f>
        <v/>
      </c>
      <c r="AZ25" s="25">
        <f>IF(1&lt;=$AX25,1,0)</f>
        <v/>
      </c>
      <c r="BA25" s="25">
        <f>IF(2&lt;=$AX25,1,0)</f>
        <v/>
      </c>
      <c r="BB25" s="25">
        <f>IF(3&lt;=$AX25,1,0)</f>
        <v/>
      </c>
      <c r="BC25" s="25">
        <f>IF(4&lt;=$AX25,1,0)</f>
        <v/>
      </c>
      <c r="BD25" s="25">
        <f>IF(5&lt;=$AX25,1,0)</f>
        <v/>
      </c>
      <c r="BE25" s="52">
        <f>(1+$AN25)^(1-1)</f>
        <v/>
      </c>
      <c r="BF25" s="52">
        <f>(1+$AN25)^(2-1)</f>
        <v/>
      </c>
      <c r="BG25" s="52">
        <f>(1+$AN25)^(3-1)</f>
        <v/>
      </c>
      <c r="BH25" s="52">
        <f>(1+$AN25)^(4-1)</f>
        <v/>
      </c>
      <c r="BI25" s="52">
        <f>(1+$AN25)^(5-1)</f>
        <v/>
      </c>
      <c r="BJ25" s="53">
        <f>1/(1+$AM25)^(1-1)</f>
        <v/>
      </c>
      <c r="BK25" s="53">
        <f>1/(1+$AM25)^(2-1)</f>
        <v/>
      </c>
      <c r="BL25" s="53">
        <f>1/(1+$AM25)^(3-1)</f>
        <v/>
      </c>
      <c r="BM25" s="53">
        <f>1/(1+$AM25)^(4-1)</f>
        <v/>
      </c>
      <c r="BN25" s="53">
        <f>1/(1+$AM25)^(5-1)</f>
        <v/>
      </c>
      <c r="BO25" s="53">
        <f>1/(1+$AM25)^1</f>
        <v/>
      </c>
      <c r="BP25" s="53">
        <f>1/(1+$AM25)^2</f>
        <v/>
      </c>
      <c r="BQ25" s="53">
        <f>1/(1+$AM25)^3</f>
        <v/>
      </c>
      <c r="BR25" s="53">
        <f>1/(1+$AM25)^4</f>
        <v/>
      </c>
      <c r="BS25" s="53">
        <f>1/(1+$AM25)^5</f>
        <v/>
      </c>
      <c r="BT25" s="43">
        <f>IF(AND($I25="Direct monthly estimate",$J25&gt;0),$J25,$D25*$K25*$L25)</f>
        <v/>
      </c>
      <c r="BU25" s="43">
        <f>$BT25*$B25*12*(1+$N25)^(1-1)</f>
        <v/>
      </c>
      <c r="BV25" s="43">
        <f>$BT25*$B25*12*(1+$N25)^(2-1)</f>
        <v/>
      </c>
      <c r="BW25" s="43">
        <f>$BT25*$B25*12*(1+$N25)^(3-1)</f>
        <v/>
      </c>
      <c r="BX25" s="43">
        <f>$BT25*$B25*12*(1+$N25)^(4-1)</f>
        <v/>
      </c>
      <c r="BY25" s="43">
        <f>$BT25*$B25*12*(1+$N25)^(5-1)</f>
        <v/>
      </c>
      <c r="BZ25" s="43">
        <f>$BU25/31536000*$M25</f>
        <v/>
      </c>
      <c r="CA25" s="43">
        <f>$BV25/31536000*$M25</f>
        <v/>
      </c>
      <c r="CB25" s="43">
        <f>$BW25/31536000*$M25</f>
        <v/>
      </c>
      <c r="CC25" s="43">
        <f>$BX25/31536000*$M25</f>
        <v/>
      </c>
      <c r="CD25" s="43">
        <f>$BY25/31536000*$M25</f>
        <v/>
      </c>
      <c r="CE25" s="43">
        <f>$BZ25*$AI25</f>
        <v/>
      </c>
      <c r="CF25" s="43">
        <f>$CA25*$AI25</f>
        <v/>
      </c>
      <c r="CG25" s="43">
        <f>$CB25*$AI25</f>
        <v/>
      </c>
      <c r="CH25" s="43">
        <f>$CC25*$AI25</f>
        <v/>
      </c>
      <c r="CI25" s="43">
        <f>$CD25*$AI25</f>
        <v/>
      </c>
      <c r="CJ25" s="44">
        <f>$O25*(1-$Q25)*(1-$P25)^(1-1)</f>
        <v/>
      </c>
      <c r="CK25" s="44">
        <f>$O25*(1-$Q25)*(1-$P25)^(2-1)</f>
        <v/>
      </c>
      <c r="CL25" s="44">
        <f>$O25*(1-$Q25)*(1-$P25)^(3-1)</f>
        <v/>
      </c>
      <c r="CM25" s="44">
        <f>$O25*(1-$Q25)*(1-$P25)^(4-1)</f>
        <v/>
      </c>
      <c r="CN25" s="44">
        <f>$O25*(1-$Q25)*(1-$P25)^(5-1)</f>
        <v/>
      </c>
      <c r="CO25" s="45">
        <f>$BU25/1000000*$CJ25</f>
        <v/>
      </c>
      <c r="CP25" s="45">
        <f>$BV25/1000000*$CK25</f>
        <v/>
      </c>
      <c r="CQ25" s="45">
        <f>$BW25/1000000*$CL25</f>
        <v/>
      </c>
      <c r="CR25" s="45">
        <f>$BX25/1000000*$CM25</f>
        <v/>
      </c>
      <c r="CS25" s="45">
        <f>$BY25/1000000*$CN25</f>
        <v/>
      </c>
      <c r="CT25" s="45">
        <f>($T25*$U25+$S25)*$BE25</f>
        <v/>
      </c>
      <c r="CU25" s="45">
        <f>($T25*$U25+$S25)*$BF25</f>
        <v/>
      </c>
      <c r="CV25" s="45">
        <f>($T25*$U25+$S25)*$BG25</f>
        <v/>
      </c>
      <c r="CW25" s="45">
        <f>($T25*$U25+$S25)*$BH25</f>
        <v/>
      </c>
      <c r="CX25" s="45">
        <f>($T25*$U25+$S25)*$BI25</f>
        <v/>
      </c>
      <c r="CY25" s="45">
        <f>IF(1=1,$R25,0)</f>
        <v/>
      </c>
      <c r="CZ25" s="45">
        <f>IF(2=1,$R25,0)</f>
        <v/>
      </c>
      <c r="DA25" s="45">
        <f>IF(3=1,$R25,0)</f>
        <v/>
      </c>
      <c r="DB25" s="45">
        <f>IF(4=1,$R25,0)</f>
        <v/>
      </c>
      <c r="DC25" s="45">
        <f>IF(5=1,$R25,0)</f>
        <v/>
      </c>
      <c r="DD25" s="45">
        <f>$CO25+$CT25+$CY25</f>
        <v/>
      </c>
      <c r="DE25" s="45">
        <f>$CP25+$CU25+$CZ25</f>
        <v/>
      </c>
      <c r="DF25" s="45">
        <f>$CQ25+$CV25+$DA25</f>
        <v/>
      </c>
      <c r="DG25" s="45">
        <f>$CR25+$CW25+$DB25</f>
        <v/>
      </c>
      <c r="DH25" s="45">
        <f>$CS25+$CX25+$DC25</f>
        <v/>
      </c>
      <c r="DI25" s="45">
        <f>$CY25</f>
        <v/>
      </c>
      <c r="DJ25" s="45">
        <f>$CZ25</f>
        <v/>
      </c>
      <c r="DK25" s="45">
        <f>$DA25</f>
        <v/>
      </c>
      <c r="DL25" s="45">
        <f>$DB25</f>
        <v/>
      </c>
      <c r="DM25" s="45">
        <f>$DC25</f>
        <v/>
      </c>
      <c r="DN25" s="45">
        <f>$CO25+$CT25</f>
        <v/>
      </c>
      <c r="DO25" s="45">
        <f>$CP25+$CU25</f>
        <v/>
      </c>
      <c r="DP25" s="45">
        <f>$CQ25+$CV25</f>
        <v/>
      </c>
      <c r="DQ25" s="45">
        <f>$CR25+$CW25</f>
        <v/>
      </c>
      <c r="DR25" s="45">
        <f>$CS25+$CX25</f>
        <v/>
      </c>
      <c r="DS25" s="45">
        <f>0</f>
        <v/>
      </c>
      <c r="DT25" s="45">
        <f>SUMPRODUCT($AZ25:$BD25,$DD25:$DH25)</f>
        <v/>
      </c>
      <c r="DU25" s="45">
        <f>SUM($DD25:$DF25)</f>
        <v/>
      </c>
      <c r="DV25" s="45">
        <f>SUM($DD25:$DH25)</f>
        <v/>
      </c>
      <c r="DW25" s="45">
        <f>SUMPRODUCT($AZ25:$BD25,$DI25:$DM25,$BJ25:$BN25)+SUMPRODUCT($AZ25:$BD25,$DN25:$DR25,$BO25:$BS25)-$DS25/(1+$AM25)^$AX25</f>
        <v/>
      </c>
      <c r="DX25" s="43">
        <f>IF($CE25&gt;0,ROUNDUP($CE25/$AP25,0),0)</f>
        <v/>
      </c>
      <c r="DY25" s="43">
        <f>IF($CF25&gt;0,ROUNDUP($CF25/$AP25,0),0)</f>
        <v/>
      </c>
      <c r="DZ25" s="43">
        <f>IF($CG25&gt;0,ROUNDUP($CG25/$AP25,0),0)</f>
        <v/>
      </c>
      <c r="EA25" s="43">
        <f>IF($CH25&gt;0,ROUNDUP($CH25/$AP25,0),0)</f>
        <v/>
      </c>
      <c r="EB25" s="43">
        <f>IF($CI25&gt;0,ROUNDUP($CI25/$AP25,0),0)</f>
        <v/>
      </c>
      <c r="EC25" s="43">
        <f>MAX($DX25,0)</f>
        <v/>
      </c>
      <c r="ED25" s="43">
        <f>MAX($DY25,$EC25)</f>
        <v/>
      </c>
      <c r="EE25" s="43">
        <f>MAX($DZ25,$ED25)</f>
        <v/>
      </c>
      <c r="EF25" s="43">
        <f>MAX($EA25,$EE25)</f>
        <v/>
      </c>
      <c r="EG25" s="43">
        <f>MAX($EB25,$EF25)</f>
        <v/>
      </c>
      <c r="EH25" s="43">
        <f>$EC25-0</f>
        <v/>
      </c>
      <c r="EI25" s="43">
        <f>$ED25-$EC25</f>
        <v/>
      </c>
      <c r="EJ25" s="43">
        <f>$EE25-$ED25</f>
        <v/>
      </c>
      <c r="EK25" s="43">
        <f>$EF25-$EE25</f>
        <v/>
      </c>
      <c r="EL25" s="43">
        <f>$EG25-$EF25</f>
        <v/>
      </c>
      <c r="EM25" s="43">
        <f>0</f>
        <v/>
      </c>
      <c r="EN25" s="43">
        <f>(1+$AY25=2)*$ER25</f>
        <v/>
      </c>
      <c r="EO25" s="43">
        <f>(1+$AY25=3)*$ER25+(2+$AY25=3)*$ES25</f>
        <v/>
      </c>
      <c r="EP25" s="43">
        <f>(1+$AY25=4)*$ER25+(2+$AY25=4)*$ES25+(3+$AY25=4)*$ET25</f>
        <v/>
      </c>
      <c r="EQ25" s="43">
        <f>(1+$AY25=5)*$ER25+(2+$AY25=5)*$ES25+(3+$AY25=5)*$ET25+(4+$AY25=5)*$EU25</f>
        <v/>
      </c>
      <c r="ER25" s="43">
        <f>$EH25+$EM25</f>
        <v/>
      </c>
      <c r="ES25" s="43">
        <f>$EI25+$EN25</f>
        <v/>
      </c>
      <c r="ET25" s="43">
        <f>$EJ25+$EO25</f>
        <v/>
      </c>
      <c r="EU25" s="43">
        <f>$EK25+$EP25</f>
        <v/>
      </c>
      <c r="EV25" s="43">
        <f>$EL25+$EQ25</f>
        <v/>
      </c>
      <c r="EW25" s="45">
        <f>$ER25*$V25</f>
        <v/>
      </c>
      <c r="EX25" s="45">
        <f>$ES25*$V25</f>
        <v/>
      </c>
      <c r="EY25" s="45">
        <f>$ET25*$V25</f>
        <v/>
      </c>
      <c r="EZ25" s="45">
        <f>$EU25*$V25</f>
        <v/>
      </c>
      <c r="FA25" s="45">
        <f>$EV25*$V25</f>
        <v/>
      </c>
      <c r="FB25" s="45">
        <f>$EM25*$V25*$X25</f>
        <v/>
      </c>
      <c r="FC25" s="45">
        <f>$EN25*$V25*$X25</f>
        <v/>
      </c>
      <c r="FD25" s="45">
        <f>$EO25*$V25*$X25</f>
        <v/>
      </c>
      <c r="FE25" s="45">
        <f>$EP25*$V25*$X25</f>
        <v/>
      </c>
      <c r="FF25" s="45">
        <f>$EQ25*$V25*$X25</f>
        <v/>
      </c>
      <c r="FG25" s="45">
        <f>$EC25*$V25*(1-$X25)/$AY25</f>
        <v/>
      </c>
      <c r="FH25" s="45">
        <f>$ED25*$V25*(1-$X25)/$AY25</f>
        <v/>
      </c>
      <c r="FI25" s="45">
        <f>$EE25*$V25*(1-$X25)/$AY25</f>
        <v/>
      </c>
      <c r="FJ25" s="45">
        <f>$EF25*$V25*(1-$X25)/$AY25</f>
        <v/>
      </c>
      <c r="FK25" s="45">
        <f>$EG25*$V25*(1-$X25)/$AY25</f>
        <v/>
      </c>
      <c r="FL25" s="45">
        <f>$EC25*$Y25*$Z25*$AA25*8760*$BE25</f>
        <v/>
      </c>
      <c r="FM25" s="45">
        <f>$ED25*$Y25*$Z25*$AA25*8760*$BF25</f>
        <v/>
      </c>
      <c r="FN25" s="45">
        <f>$EE25*$Y25*$Z25*$AA25*8760*$BG25</f>
        <v/>
      </c>
      <c r="FO25" s="45">
        <f>$EF25*$Y25*$Z25*$AA25*8760*$BH25</f>
        <v/>
      </c>
      <c r="FP25" s="45">
        <f>$EG25*$Y25*$Z25*$AA25*8760*$BI25</f>
        <v/>
      </c>
      <c r="FQ25" s="45">
        <f>IF($AC25&gt;0,$AC25,$EC25*$Y25*$AB25*12)*$BE25</f>
        <v/>
      </c>
      <c r="FR25" s="45">
        <f>IF($AC25&gt;0,$AC25,$ED25*$Y25*$AB25*12)*$BF25</f>
        <v/>
      </c>
      <c r="FS25" s="45">
        <f>IF($AC25&gt;0,$AC25,$EE25*$Y25*$AB25*12)*$BG25</f>
        <v/>
      </c>
      <c r="FT25" s="45">
        <f>IF($AC25&gt;0,$AC25,$EF25*$Y25*$AB25*12)*$BH25</f>
        <v/>
      </c>
      <c r="FU25" s="45">
        <f>IF($AC25&gt;0,$AC25,$EG25*$Y25*$AB25*12)*$BI25</f>
        <v/>
      </c>
      <c r="FV25" s="45">
        <f>$EC25*$V25*$AD25*$BE25</f>
        <v/>
      </c>
      <c r="FW25" s="45">
        <f>$ED25*$V25*$AD25*$BF25</f>
        <v/>
      </c>
      <c r="FX25" s="45">
        <f>$EE25*$V25*$AD25*$BG25</f>
        <v/>
      </c>
      <c r="FY25" s="45">
        <f>$EF25*$V25*$AD25*$BH25</f>
        <v/>
      </c>
      <c r="FZ25" s="45">
        <f>$EG25*$V25*$AD25*$BI25</f>
        <v/>
      </c>
      <c r="GA25" s="45">
        <f>$AE25*$BE25</f>
        <v/>
      </c>
      <c r="GB25" s="45">
        <f>$AE25*$BF25</f>
        <v/>
      </c>
      <c r="GC25" s="45">
        <f>$AE25*$BG25</f>
        <v/>
      </c>
      <c r="GD25" s="45">
        <f>$AE25*$BH25</f>
        <v/>
      </c>
      <c r="GE25" s="45">
        <f>$AE25*$BI25</f>
        <v/>
      </c>
      <c r="GF25" s="45">
        <f>$AF25*$AG25*$BE25</f>
        <v/>
      </c>
      <c r="GG25" s="45">
        <f>$AF25*$AG25*$BF25</f>
        <v/>
      </c>
      <c r="GH25" s="45">
        <f>$AF25*$AG25*$BG25</f>
        <v/>
      </c>
      <c r="GI25" s="45">
        <f>$AF25*$AG25*$BH25</f>
        <v/>
      </c>
      <c r="GJ25" s="45">
        <f>$AF25*$AG25*$BI25</f>
        <v/>
      </c>
      <c r="GK25" s="45">
        <f>IF(1=1,$AH25,0)</f>
        <v/>
      </c>
      <c r="GL25" s="45">
        <f>IF(2=1,$AH25,0)</f>
        <v/>
      </c>
      <c r="GM25" s="45">
        <f>IF(3=1,$AH25,0)</f>
        <v/>
      </c>
      <c r="GN25" s="45">
        <f>IF(4=1,$AH25,0)</f>
        <v/>
      </c>
      <c r="GO25" s="45">
        <f>IF(5=1,$AH25,0)</f>
        <v/>
      </c>
      <c r="GP25" s="45">
        <f>$FG25+$FL25+$FQ25+$FV25+$GA25+$GF25+$GK25</f>
        <v/>
      </c>
      <c r="GQ25" s="45">
        <f>$FH25+$FM25+$FR25+$FW25+$GB25+$GG25+$GL25</f>
        <v/>
      </c>
      <c r="GR25" s="45">
        <f>$FI25+$FN25+$FS25+$FX25+$GC25+$GH25+$GM25</f>
        <v/>
      </c>
      <c r="GS25" s="45">
        <f>$FJ25+$FO25+$FT25+$FY25+$GD25+$GI25+$GN25</f>
        <v/>
      </c>
      <c r="GT25" s="45">
        <f>$FK25+$FP25+$FU25+$FZ25+$GE25+$GJ25+$GO25</f>
        <v/>
      </c>
      <c r="GU25" s="45">
        <f>$EW25-$FB25+$GK25</f>
        <v/>
      </c>
      <c r="GV25" s="45">
        <f>$EX25-$FC25+$GL25</f>
        <v/>
      </c>
      <c r="GW25" s="45">
        <f>$EY25-$FD25+$GM25</f>
        <v/>
      </c>
      <c r="GX25" s="45">
        <f>$EZ25-$FE25+$GN25</f>
        <v/>
      </c>
      <c r="GY25" s="45">
        <f>$FA25-$FF25+$GO25</f>
        <v/>
      </c>
      <c r="GZ25" s="45">
        <f>$FL25+$FQ25+$FV25+$GA25+$GF25</f>
        <v/>
      </c>
      <c r="HA25" s="45">
        <f>$FM25+$FR25+$FW25+$GB25+$GG25</f>
        <v/>
      </c>
      <c r="HB25" s="45">
        <f>$FN25+$FS25+$FX25+$GC25+$GH25</f>
        <v/>
      </c>
      <c r="HC25" s="45">
        <f>$FO25+$FT25+$FY25+$GD25+$GI25</f>
        <v/>
      </c>
      <c r="HD25" s="45">
        <f>$FP25+$FU25+$FZ25+$GE25+$GJ25</f>
        <v/>
      </c>
      <c r="HE25" s="45">
        <f>((1&lt;=$AX25)*(1&gt;$AX25-$AY25))*$ER25*$V25*MAX(0,1-(1-$X25)*($AX25-1+1)/$AY25)+((2&lt;=$AX25)*(2&gt;$AX25-$AY25))*$ES25*$V25*MAX(0,1-(1-$X25)*($AX25-2+1)/$AY25)+((3&lt;=$AX25)*(3&gt;$AX25-$AY25))*$ET25*$V25*MAX(0,1-(1-$X25)*($AX25-3+1)/$AY25)+((4&lt;=$AX25)*(4&gt;$AX25-$AY25))*$EU25*$V25*MAX(0,1-(1-$X25)*($AX25-4+1)/$AY25)+((5&lt;=$AX25)*(5&gt;$AX25-$AY25))*$EV25*$V25*MAX(0,1-(1-$X25)*($AX25-5+1)/$AY25)</f>
        <v/>
      </c>
      <c r="HF25" s="45">
        <f>SUMPRODUCT($AZ25:$BD25,$GP25:$GT25)</f>
        <v/>
      </c>
      <c r="HG25" s="45">
        <f>SUM($GP25:$GR25)</f>
        <v/>
      </c>
      <c r="HH25" s="45">
        <f>SUM($GP25:$GT25)</f>
        <v/>
      </c>
      <c r="HI25" s="45">
        <f>SUMPRODUCT($AZ25:$BD25,$GU25:$GY25,$BJ25:$BN25)+SUMPRODUCT($AZ25:$BD25,$GZ25:$HD25,$BO25:$BS25)-$HE25/(1+$AM25)^$AX25</f>
        <v/>
      </c>
      <c r="HJ25" s="46">
        <f>MIN(1,MAX(0,IF(ISNUMBER($AJ25),$AJ25,IF($F25+$G25+$H25&gt;0,($G25+$H25)/($F25+$G25+$H25),0))*$AR25))</f>
        <v/>
      </c>
      <c r="HK25" s="25">
        <f>IF($HJ25&gt;0,1,0)</f>
        <v/>
      </c>
      <c r="HL25" s="25">
        <f>IF($HJ25&lt;1,1,0)</f>
        <v/>
      </c>
      <c r="HM25" s="43">
        <f>IF($CE25*$HJ25&gt;0,ROUNDUP($CE25*$HJ25/$AP25,0),0)</f>
        <v/>
      </c>
      <c r="HN25" s="43">
        <f>IF($CF25*$HJ25&gt;0,ROUNDUP($CF25*$HJ25/$AP25,0),0)</f>
        <v/>
      </c>
      <c r="HO25" s="43">
        <f>IF($CG25*$HJ25&gt;0,ROUNDUP($CG25*$HJ25/$AP25,0),0)</f>
        <v/>
      </c>
      <c r="HP25" s="43">
        <f>IF($CH25*$HJ25&gt;0,ROUNDUP($CH25*$HJ25/$AP25,0),0)</f>
        <v/>
      </c>
      <c r="HQ25" s="43">
        <f>IF($CI25*$HJ25&gt;0,ROUNDUP($CI25*$HJ25/$AP25,0),0)</f>
        <v/>
      </c>
      <c r="HR25" s="43">
        <f>MAX($HM25,0)</f>
        <v/>
      </c>
      <c r="HS25" s="43">
        <f>MAX($HN25,$HR25)</f>
        <v/>
      </c>
      <c r="HT25" s="43">
        <f>MAX($HO25,$HS25)</f>
        <v/>
      </c>
      <c r="HU25" s="43">
        <f>MAX($HP25,$HT25)</f>
        <v/>
      </c>
      <c r="HV25" s="43">
        <f>MAX($HQ25,$HU25)</f>
        <v/>
      </c>
      <c r="HW25" s="43">
        <f>$HR25-0</f>
        <v/>
      </c>
      <c r="HX25" s="43">
        <f>$HS25-$HR25</f>
        <v/>
      </c>
      <c r="HY25" s="43">
        <f>$HT25-$HS25</f>
        <v/>
      </c>
      <c r="HZ25" s="43">
        <f>$HU25-$HT25</f>
        <v/>
      </c>
      <c r="IA25" s="43">
        <f>$HV25-$HU25</f>
        <v/>
      </c>
      <c r="IB25" s="43">
        <f>0</f>
        <v/>
      </c>
      <c r="IC25" s="43">
        <f>(1+$AY25=2)*$IG25</f>
        <v/>
      </c>
      <c r="ID25" s="43">
        <f>(1+$AY25=3)*$IG25+(2+$AY25=3)*$IH25</f>
        <v/>
      </c>
      <c r="IE25" s="43">
        <f>(1+$AY25=4)*$IG25+(2+$AY25=4)*$IH25+(3+$AY25=4)*$II25</f>
        <v/>
      </c>
      <c r="IF25" s="43">
        <f>(1+$AY25=5)*$IG25+(2+$AY25=5)*$IH25+(3+$AY25=5)*$II25+(4+$AY25=5)*$IJ25</f>
        <v/>
      </c>
      <c r="IG25" s="43">
        <f>$HW25+$IB25</f>
        <v/>
      </c>
      <c r="IH25" s="43">
        <f>$HX25+$IC25</f>
        <v/>
      </c>
      <c r="II25" s="43">
        <f>$HY25+$ID25</f>
        <v/>
      </c>
      <c r="IJ25" s="43">
        <f>$HZ25+$IE25</f>
        <v/>
      </c>
      <c r="IK25" s="43">
        <f>$IA25+$IF25</f>
        <v/>
      </c>
      <c r="IL25" s="45">
        <f>$IG25*$V25</f>
        <v/>
      </c>
      <c r="IM25" s="45">
        <f>$IH25*$V25</f>
        <v/>
      </c>
      <c r="IN25" s="45">
        <f>$II25*$V25</f>
        <v/>
      </c>
      <c r="IO25" s="45">
        <f>$IJ25*$V25</f>
        <v/>
      </c>
      <c r="IP25" s="45">
        <f>$IK25*$V25</f>
        <v/>
      </c>
      <c r="IQ25" s="45">
        <f>$IB25*$V25*$X25</f>
        <v/>
      </c>
      <c r="IR25" s="45">
        <f>$IC25*$V25*$X25</f>
        <v/>
      </c>
      <c r="IS25" s="45">
        <f>$ID25*$V25*$X25</f>
        <v/>
      </c>
      <c r="IT25" s="45">
        <f>$IE25*$V25*$X25</f>
        <v/>
      </c>
      <c r="IU25" s="45">
        <f>$IF25*$V25*$X25</f>
        <v/>
      </c>
      <c r="IV25" s="45">
        <f>$HR25*$V25*(1-$X25)/$AY25</f>
        <v/>
      </c>
      <c r="IW25" s="45">
        <f>$HS25*$V25*(1-$X25)/$AY25</f>
        <v/>
      </c>
      <c r="IX25" s="45">
        <f>$HT25*$V25*(1-$X25)/$AY25</f>
        <v/>
      </c>
      <c r="IY25" s="45">
        <f>$HU25*$V25*(1-$X25)/$AY25</f>
        <v/>
      </c>
      <c r="IZ25" s="45">
        <f>$HV25*$V25*(1-$X25)/$AY25</f>
        <v/>
      </c>
      <c r="JA25" s="45">
        <f>$HR25*$Y25*$Z25*$AA25*8760*$BE25</f>
        <v/>
      </c>
      <c r="JB25" s="45">
        <f>$HS25*$Y25*$Z25*$AA25*8760*$BF25</f>
        <v/>
      </c>
      <c r="JC25" s="45">
        <f>$HT25*$Y25*$Z25*$AA25*8760*$BG25</f>
        <v/>
      </c>
      <c r="JD25" s="45">
        <f>$HU25*$Y25*$Z25*$AA25*8760*$BH25</f>
        <v/>
      </c>
      <c r="JE25" s="45">
        <f>$HV25*$Y25*$Z25*$AA25*8760*$BI25</f>
        <v/>
      </c>
      <c r="JF25" s="45">
        <f>IF($AC25&gt;0,$AC25*$HK25,$HR25*$Y25*$AB25*12)*$BE25</f>
        <v/>
      </c>
      <c r="JG25" s="45">
        <f>IF($AC25&gt;0,$AC25*$HK25,$HS25*$Y25*$AB25*12)*$BF25</f>
        <v/>
      </c>
      <c r="JH25" s="45">
        <f>IF($AC25&gt;0,$AC25*$HK25,$HT25*$Y25*$AB25*12)*$BG25</f>
        <v/>
      </c>
      <c r="JI25" s="45">
        <f>IF($AC25&gt;0,$AC25*$HK25,$HU25*$Y25*$AB25*12)*$BH25</f>
        <v/>
      </c>
      <c r="JJ25" s="45">
        <f>IF($AC25&gt;0,$AC25*$HK25,$HV25*$Y25*$AB25*12)*$BI25</f>
        <v/>
      </c>
      <c r="JK25" s="45">
        <f>$HR25*$V25*$AD25*$BE25</f>
        <v/>
      </c>
      <c r="JL25" s="45">
        <f>$HS25*$V25*$AD25*$BF25</f>
        <v/>
      </c>
      <c r="JM25" s="45">
        <f>$HT25*$V25*$AD25*$BG25</f>
        <v/>
      </c>
      <c r="JN25" s="45">
        <f>$HU25*$V25*$AD25*$BH25</f>
        <v/>
      </c>
      <c r="JO25" s="45">
        <f>$HV25*$V25*$AD25*$BI25</f>
        <v/>
      </c>
      <c r="JP25" s="45">
        <f>$AE25*$BE25*$HK25</f>
        <v/>
      </c>
      <c r="JQ25" s="45">
        <f>$AE25*$BF25*$HK25</f>
        <v/>
      </c>
      <c r="JR25" s="45">
        <f>$AE25*$BG25*$HK25</f>
        <v/>
      </c>
      <c r="JS25" s="45">
        <f>$AE25*$BH25*$HK25</f>
        <v/>
      </c>
      <c r="JT25" s="45">
        <f>$AE25*$BI25*$HK25</f>
        <v/>
      </c>
      <c r="JU25" s="45">
        <f>$AQ25*$AG25*$BE25*$HK25</f>
        <v/>
      </c>
      <c r="JV25" s="45">
        <f>$AQ25*$AG25*$BF25*$HK25</f>
        <v/>
      </c>
      <c r="JW25" s="45">
        <f>$AQ25*$AG25*$BG25*$HK25</f>
        <v/>
      </c>
      <c r="JX25" s="45">
        <f>$AQ25*$AG25*$BH25*$HK25</f>
        <v/>
      </c>
      <c r="JY25" s="45">
        <f>$AQ25*$AG25*$BI25*$HK25</f>
        <v/>
      </c>
      <c r="JZ25" s="45">
        <f>$BU25*(1-$HJ25)/1000000*$CJ25</f>
        <v/>
      </c>
      <c r="KA25" s="45">
        <f>$BV25*(1-$HJ25)/1000000*$CK25</f>
        <v/>
      </c>
      <c r="KB25" s="45">
        <f>$BW25*(1-$HJ25)/1000000*$CL25</f>
        <v/>
      </c>
      <c r="KC25" s="45">
        <f>$BX25*(1-$HJ25)/1000000*$CM25</f>
        <v/>
      </c>
      <c r="KD25" s="45">
        <f>$BY25*(1-$HJ25)/1000000*$CN25</f>
        <v/>
      </c>
      <c r="KE25" s="45">
        <f>$CT25*$HL25</f>
        <v/>
      </c>
      <c r="KF25" s="45">
        <f>$CU25*$HL25</f>
        <v/>
      </c>
      <c r="KG25" s="45">
        <f>$CV25*$HL25</f>
        <v/>
      </c>
      <c r="KH25" s="45">
        <f>$CW25*$HL25</f>
        <v/>
      </c>
      <c r="KI25" s="45">
        <f>$CX25*$HL25</f>
        <v/>
      </c>
      <c r="KJ25" s="45">
        <f>IF(1=1,$R25*$HL25+$AH25*$HK25+$AK25,0)</f>
        <v/>
      </c>
      <c r="KK25" s="45">
        <f>IF(2=1,$R25*$HL25+$AH25*$HK25+$AK25,0)</f>
        <v/>
      </c>
      <c r="KL25" s="45">
        <f>IF(3=1,$R25*$HL25+$AH25*$HK25+$AK25,0)</f>
        <v/>
      </c>
      <c r="KM25" s="45">
        <f>IF(4=1,$R25*$HL25+$AH25*$HK25+$AK25,0)</f>
        <v/>
      </c>
      <c r="KN25" s="45">
        <f>IF(5=1,$R25*$HL25+$AH25*$HK25+$AK25,0)</f>
        <v/>
      </c>
      <c r="KO25" s="45">
        <f>$IV25+$JA25+$JF25+$JK25+$JP25+$JU25+$JZ25+$KE25+$KJ25</f>
        <v/>
      </c>
      <c r="KP25" s="45">
        <f>$IW25+$JB25+$JG25+$JL25+$JQ25+$JV25+$KA25+$KF25+$KK25</f>
        <v/>
      </c>
      <c r="KQ25" s="45">
        <f>$IX25+$JC25+$JH25+$JM25+$JR25+$JW25+$KB25+$KG25+$KL25</f>
        <v/>
      </c>
      <c r="KR25" s="45">
        <f>$IY25+$JD25+$JI25+$JN25+$JS25+$JX25+$KC25+$KH25+$KM25</f>
        <v/>
      </c>
      <c r="KS25" s="45">
        <f>$IZ25+$JE25+$JJ25+$JO25+$JT25+$JY25+$KD25+$KI25+$KN25</f>
        <v/>
      </c>
      <c r="KT25" s="45">
        <f>$IL25-$IQ25+$KJ25</f>
        <v/>
      </c>
      <c r="KU25" s="45">
        <f>$IM25-$IR25+$KK25</f>
        <v/>
      </c>
      <c r="KV25" s="45">
        <f>$IN25-$IS25+$KL25</f>
        <v/>
      </c>
      <c r="KW25" s="45">
        <f>$IO25-$IT25+$KM25</f>
        <v/>
      </c>
      <c r="KX25" s="45">
        <f>$IP25-$IU25+$KN25</f>
        <v/>
      </c>
      <c r="KY25" s="45">
        <f>$JA25+$JF25+$JK25+$JP25+$JU25+$JZ25+$KE25</f>
        <v/>
      </c>
      <c r="KZ25" s="45">
        <f>$JB25+$JG25+$JL25+$JQ25+$JV25+$KA25+$KF25</f>
        <v/>
      </c>
      <c r="LA25" s="45">
        <f>$JC25+$JH25+$JM25+$JR25+$JW25+$KB25+$KG25</f>
        <v/>
      </c>
      <c r="LB25" s="45">
        <f>$JD25+$JI25+$JN25+$JS25+$JX25+$KC25+$KH25</f>
        <v/>
      </c>
      <c r="LC25" s="45">
        <f>$JE25+$JJ25+$JO25+$JT25+$JY25+$KD25+$KI25</f>
        <v/>
      </c>
      <c r="LD25" s="45">
        <f>((1&lt;=$AX25)*(1&gt;$AX25-$AY25))*$IG25*$V25*MAX(0,1-(1-$X25)*($AX25-1+1)/$AY25)+((2&lt;=$AX25)*(2&gt;$AX25-$AY25))*$IH25*$V25*MAX(0,1-(1-$X25)*($AX25-2+1)/$AY25)+((3&lt;=$AX25)*(3&gt;$AX25-$AY25))*$II25*$V25*MAX(0,1-(1-$X25)*($AX25-3+1)/$AY25)+((4&lt;=$AX25)*(4&gt;$AX25-$AY25))*$IJ25*$V25*MAX(0,1-(1-$X25)*($AX25-4+1)/$AY25)+((5&lt;=$AX25)*(5&gt;$AX25-$AY25))*$IK25*$V25*MAX(0,1-(1-$X25)*($AX25-5+1)/$AY25)</f>
        <v/>
      </c>
      <c r="LE25" s="45">
        <f>SUMPRODUCT($AZ25:$BD25,$KO25:$KS25)</f>
        <v/>
      </c>
      <c r="LF25" s="45">
        <f>SUM($KO25:$KQ25)</f>
        <v/>
      </c>
      <c r="LG25" s="45">
        <f>SUM($KO25:$KS25)</f>
        <v/>
      </c>
      <c r="LH25" s="45">
        <f>SUMPRODUCT($AZ25:$BD25,$KT25:$KX25,$BJ25:$BN25)+SUMPRODUCT($AZ25:$BD25,$KY25:$LC25,$BO25:$BS25)-$LD25/(1+$AM25)^$AX25</f>
        <v/>
      </c>
      <c r="LI25" s="43">
        <f>$BU25/1000000</f>
        <v/>
      </c>
      <c r="LJ25" s="44">
        <f>IF($LI25&gt;0,$DD25/$LI25,0)</f>
        <v/>
      </c>
      <c r="LK25" s="44">
        <f>IF($LI25&gt;0,$GP25/$LI25,0)</f>
        <v/>
      </c>
      <c r="LL25" s="44">
        <f>IF($LI25&gt;0,$KO25/$LI25,0)</f>
        <v/>
      </c>
      <c r="LM25" s="43">
        <f>$AP25*31536000/1000000</f>
        <v/>
      </c>
      <c r="LN25" s="43">
        <f>$EC25*$LM25</f>
        <v/>
      </c>
      <c r="LO25" s="45">
        <f>$FG25+$FL25+$FQ25+$FV25+$GA25+$GF25</f>
        <v/>
      </c>
      <c r="LP25" s="46">
        <f>IF($LN25*$CJ25&gt;0,MAX(0,($LO25-$CT25)/($LN25*$CJ25)),0)</f>
        <v/>
      </c>
      <c r="LQ25" s="46">
        <f>IF($LN25&gt;0,$LI25/$LN25,0)</f>
        <v/>
      </c>
      <c r="LR25" s="46">
        <f>1/($M25*$AI25)</f>
        <v/>
      </c>
      <c r="LS25" s="43">
        <f>$HR25*$LM25</f>
        <v/>
      </c>
      <c r="LT25" s="45">
        <f>$IV25+$JA25+$JF25+$JK25+$JP25+$JU25</f>
        <v/>
      </c>
      <c r="LU25" s="46">
        <f>IF($LS25*$CJ25&gt;0,$LT25/($LS25*$CJ25),0)</f>
        <v/>
      </c>
      <c r="LV25" s="46">
        <f>IF($LS25&gt;0,$LI25*$HJ25/$LS25,0)</f>
        <v/>
      </c>
      <c r="LW25" s="45">
        <f>$V25*(1-$X25)/$AY25+$Y25*$Z25*$AA25*8760+IF($AC25&gt;0,0,$Y25*$AB25*12)+$V25*$AD25</f>
        <v/>
      </c>
      <c r="LX25" s="46">
        <f>IF($LM25*$CJ25&gt;0,$LW25/($LM25*$CJ25),0)</f>
        <v/>
      </c>
      <c r="LY25" s="44">
        <f>IF($LM25*$LR25&gt;0,$LW25/($LM25*$LR25),0)</f>
        <v/>
      </c>
      <c r="LZ25" s="45">
        <f>$AE25+$AF25*$AG25+IF($AC25&gt;0,$AC25,0)-$CT25</f>
        <v/>
      </c>
      <c r="MA25" s="43">
        <f>IF($CJ25&gt;$LY25,MAX(0,$LZ25)/($CJ25-$LY25)*1000000,"Not reachable")</f>
        <v/>
      </c>
      <c r="MB25" s="47">
        <f>IF(AND(ISNUMBER($MA25),$BU25&gt;0),$MA25/$BU25,"n/a")</f>
        <v/>
      </c>
      <c r="MC25" s="47">
        <f>$B25*MAX(0,$D25-1)*$E25</f>
        <v/>
      </c>
      <c r="MD25" s="45">
        <f>$MC25*$C25</f>
        <v/>
      </c>
      <c r="ME25" s="45">
        <f>$MD25*SUMPRODUCT($AZ25:$BD25,$BO25:$BS25)</f>
        <v/>
      </c>
      <c r="MF25" s="45">
        <f>IF($AO25="Yes",$ME25-$DW25,0)</f>
        <v/>
      </c>
      <c r="MG25" s="45">
        <f>IF($AO25="Yes",$ME25-$HI25,0)</f>
        <v/>
      </c>
      <c r="MH25" s="45">
        <f>IF($AO25="Yes",$ME25-$LH25,0)</f>
        <v/>
      </c>
      <c r="MI25" s="45">
        <f>IF($AO25="Yes",$MD25-$DD25,0)</f>
        <v/>
      </c>
      <c r="MJ25" s="25">
        <f>IF(AND($DW25&lt;=$HI25,$DW25&lt;=$LH25),"Rent the Frontier",IF($HI25&lt;=$LH25,"Own the Frontier","Hybrid"))</f>
        <v/>
      </c>
      <c r="MK25" s="25">
        <f>IF(AND($DT25&lt;=$HF25,$DT25&lt;=$LE25),"Rent the Frontier",IF($HF25&lt;=$LE25,"Own the Frontier","Hybrid"))</f>
        <v/>
      </c>
    </row>
    <row r="26">
      <c r="A26" s="25">
        <f>Sensitivity!A29&amp;" ("&amp;Sensitivity!C29&amp;")"</f>
        <v/>
      </c>
      <c r="B26" s="25">
        <f>Inputs!$B$5</f>
        <v/>
      </c>
      <c r="C26" s="25">
        <f>Inputs!$B$6</f>
        <v/>
      </c>
      <c r="D26" s="25">
        <f>Inputs!$B$7</f>
        <v/>
      </c>
      <c r="E26" s="25">
        <f>Inputs!$B$8</f>
        <v/>
      </c>
      <c r="F26" s="25">
        <f>Inputs!$B$12</f>
        <v/>
      </c>
      <c r="G26" s="25">
        <f>Inputs!$B$13</f>
        <v/>
      </c>
      <c r="H26" s="25">
        <f>Inputs!$B$14</f>
        <v/>
      </c>
      <c r="I26" s="25">
        <f>Inputs!$B$18</f>
        <v/>
      </c>
      <c r="J26" s="25">
        <f>Inputs!$B$19</f>
        <v/>
      </c>
      <c r="K26" s="25">
        <f>Inputs!$B$20</f>
        <v/>
      </c>
      <c r="L26" s="25">
        <f>Inputs!$B$21</f>
        <v/>
      </c>
      <c r="M26" s="25">
        <f>Inputs!$B$22</f>
        <v/>
      </c>
      <c r="N26" s="25">
        <f>Inputs!$B$23*Sensitivity!$D$29</f>
        <v/>
      </c>
      <c r="O26" s="25">
        <f>Inputs!$B$26</f>
        <v/>
      </c>
      <c r="P26" s="25">
        <f>Inputs!$B$27</f>
        <v/>
      </c>
      <c r="Q26" s="25">
        <f>Inputs!$B$28</f>
        <v/>
      </c>
      <c r="R26" s="25">
        <f>Inputs!$B$29</f>
        <v/>
      </c>
      <c r="S26" s="25">
        <f>Inputs!$B$30</f>
        <v/>
      </c>
      <c r="T26" s="25">
        <f>Inputs!$B$31</f>
        <v/>
      </c>
      <c r="U26" s="25">
        <f>Inputs!$B$32</f>
        <v/>
      </c>
      <c r="V26" s="25">
        <f>Inputs!$B$35</f>
        <v/>
      </c>
      <c r="W26" s="25">
        <f>Inputs!$B$36</f>
        <v/>
      </c>
      <c r="X26" s="25">
        <f>Inputs!$B$37</f>
        <v/>
      </c>
      <c r="Y26" s="25">
        <f>Inputs!$B$38</f>
        <v/>
      </c>
      <c r="Z26" s="25">
        <f>Inputs!$B$39</f>
        <v/>
      </c>
      <c r="AA26" s="25">
        <f>Inputs!$B$40</f>
        <v/>
      </c>
      <c r="AB26" s="25">
        <f>Inputs!$B$41</f>
        <v/>
      </c>
      <c r="AC26" s="25">
        <f>Inputs!$B$42</f>
        <v/>
      </c>
      <c r="AD26" s="25">
        <f>Inputs!$B$43</f>
        <v/>
      </c>
      <c r="AE26" s="25">
        <f>Inputs!$B$44</f>
        <v/>
      </c>
      <c r="AF26" s="25">
        <f>Inputs!$B$45</f>
        <v/>
      </c>
      <c r="AG26" s="25">
        <f>Inputs!$B$46</f>
        <v/>
      </c>
      <c r="AH26" s="25">
        <f>Inputs!$B$47</f>
        <v/>
      </c>
      <c r="AI26" s="25">
        <f>Inputs!$B$48</f>
        <v/>
      </c>
      <c r="AJ26" s="25">
        <f>IF(ISNUMBER(Inputs!$B$51),Inputs!$B$51,"")</f>
        <v/>
      </c>
      <c r="AK26" s="25">
        <f>Inputs!$B$52</f>
        <v/>
      </c>
      <c r="AL26" s="25">
        <f>Inputs!$B$55</f>
        <v/>
      </c>
      <c r="AM26" s="25">
        <f>Inputs!$B$56</f>
        <v/>
      </c>
      <c r="AN26" s="25">
        <f>Inputs!$B$57</f>
        <v/>
      </c>
      <c r="AO26" s="25">
        <f>Inputs!$B$58</f>
        <v/>
      </c>
      <c r="AP26" s="25">
        <f>Inputs!$B$61</f>
        <v/>
      </c>
      <c r="AQ26" s="25">
        <f>Inputs!$B$62</f>
        <v/>
      </c>
      <c r="AR26" s="25">
        <f>1</f>
        <v/>
      </c>
      <c r="AS26" s="25" t="n">
        <v>1</v>
      </c>
      <c r="AT26" s="25" t="n">
        <v>2</v>
      </c>
      <c r="AU26" s="25" t="n">
        <v>3</v>
      </c>
      <c r="AV26" s="25" t="n">
        <v>4</v>
      </c>
      <c r="AW26" s="25" t="n">
        <v>5</v>
      </c>
      <c r="AX26" s="25">
        <f>MIN(5,MAX(1,ROUND($AL26,0)))</f>
        <v/>
      </c>
      <c r="AY26" s="25">
        <f>MAX(1,ROUND($W26,0))</f>
        <v/>
      </c>
      <c r="AZ26" s="25">
        <f>IF(1&lt;=$AX26,1,0)</f>
        <v/>
      </c>
      <c r="BA26" s="25">
        <f>IF(2&lt;=$AX26,1,0)</f>
        <v/>
      </c>
      <c r="BB26" s="25">
        <f>IF(3&lt;=$AX26,1,0)</f>
        <v/>
      </c>
      <c r="BC26" s="25">
        <f>IF(4&lt;=$AX26,1,0)</f>
        <v/>
      </c>
      <c r="BD26" s="25">
        <f>IF(5&lt;=$AX26,1,0)</f>
        <v/>
      </c>
      <c r="BE26" s="52">
        <f>(1+$AN26)^(1-1)</f>
        <v/>
      </c>
      <c r="BF26" s="52">
        <f>(1+$AN26)^(2-1)</f>
        <v/>
      </c>
      <c r="BG26" s="52">
        <f>(1+$AN26)^(3-1)</f>
        <v/>
      </c>
      <c r="BH26" s="52">
        <f>(1+$AN26)^(4-1)</f>
        <v/>
      </c>
      <c r="BI26" s="52">
        <f>(1+$AN26)^(5-1)</f>
        <v/>
      </c>
      <c r="BJ26" s="53">
        <f>1/(1+$AM26)^(1-1)</f>
        <v/>
      </c>
      <c r="BK26" s="53">
        <f>1/(1+$AM26)^(2-1)</f>
        <v/>
      </c>
      <c r="BL26" s="53">
        <f>1/(1+$AM26)^(3-1)</f>
        <v/>
      </c>
      <c r="BM26" s="53">
        <f>1/(1+$AM26)^(4-1)</f>
        <v/>
      </c>
      <c r="BN26" s="53">
        <f>1/(1+$AM26)^(5-1)</f>
        <v/>
      </c>
      <c r="BO26" s="53">
        <f>1/(1+$AM26)^1</f>
        <v/>
      </c>
      <c r="BP26" s="53">
        <f>1/(1+$AM26)^2</f>
        <v/>
      </c>
      <c r="BQ26" s="53">
        <f>1/(1+$AM26)^3</f>
        <v/>
      </c>
      <c r="BR26" s="53">
        <f>1/(1+$AM26)^4</f>
        <v/>
      </c>
      <c r="BS26" s="53">
        <f>1/(1+$AM26)^5</f>
        <v/>
      </c>
      <c r="BT26" s="43">
        <f>IF(AND($I26="Direct monthly estimate",$J26&gt;0),$J26,$D26*$K26*$L26)</f>
        <v/>
      </c>
      <c r="BU26" s="43">
        <f>$BT26*$B26*12*(1+$N26)^(1-1)</f>
        <v/>
      </c>
      <c r="BV26" s="43">
        <f>$BT26*$B26*12*(1+$N26)^(2-1)</f>
        <v/>
      </c>
      <c r="BW26" s="43">
        <f>$BT26*$B26*12*(1+$N26)^(3-1)</f>
        <v/>
      </c>
      <c r="BX26" s="43">
        <f>$BT26*$B26*12*(1+$N26)^(4-1)</f>
        <v/>
      </c>
      <c r="BY26" s="43">
        <f>$BT26*$B26*12*(1+$N26)^(5-1)</f>
        <v/>
      </c>
      <c r="BZ26" s="43">
        <f>$BU26/31536000*$M26</f>
        <v/>
      </c>
      <c r="CA26" s="43">
        <f>$BV26/31536000*$M26</f>
        <v/>
      </c>
      <c r="CB26" s="43">
        <f>$BW26/31536000*$M26</f>
        <v/>
      </c>
      <c r="CC26" s="43">
        <f>$BX26/31536000*$M26</f>
        <v/>
      </c>
      <c r="CD26" s="43">
        <f>$BY26/31536000*$M26</f>
        <v/>
      </c>
      <c r="CE26" s="43">
        <f>$BZ26*$AI26</f>
        <v/>
      </c>
      <c r="CF26" s="43">
        <f>$CA26*$AI26</f>
        <v/>
      </c>
      <c r="CG26" s="43">
        <f>$CB26*$AI26</f>
        <v/>
      </c>
      <c r="CH26" s="43">
        <f>$CC26*$AI26</f>
        <v/>
      </c>
      <c r="CI26" s="43">
        <f>$CD26*$AI26</f>
        <v/>
      </c>
      <c r="CJ26" s="44">
        <f>$O26*(1-$Q26)*(1-$P26)^(1-1)</f>
        <v/>
      </c>
      <c r="CK26" s="44">
        <f>$O26*(1-$Q26)*(1-$P26)^(2-1)</f>
        <v/>
      </c>
      <c r="CL26" s="44">
        <f>$O26*(1-$Q26)*(1-$P26)^(3-1)</f>
        <v/>
      </c>
      <c r="CM26" s="44">
        <f>$O26*(1-$Q26)*(1-$P26)^(4-1)</f>
        <v/>
      </c>
      <c r="CN26" s="44">
        <f>$O26*(1-$Q26)*(1-$P26)^(5-1)</f>
        <v/>
      </c>
      <c r="CO26" s="45">
        <f>$BU26/1000000*$CJ26</f>
        <v/>
      </c>
      <c r="CP26" s="45">
        <f>$BV26/1000000*$CK26</f>
        <v/>
      </c>
      <c r="CQ26" s="45">
        <f>$BW26/1000000*$CL26</f>
        <v/>
      </c>
      <c r="CR26" s="45">
        <f>$BX26/1000000*$CM26</f>
        <v/>
      </c>
      <c r="CS26" s="45">
        <f>$BY26/1000000*$CN26</f>
        <v/>
      </c>
      <c r="CT26" s="45">
        <f>($T26*$U26+$S26)*$BE26</f>
        <v/>
      </c>
      <c r="CU26" s="45">
        <f>($T26*$U26+$S26)*$BF26</f>
        <v/>
      </c>
      <c r="CV26" s="45">
        <f>($T26*$U26+$S26)*$BG26</f>
        <v/>
      </c>
      <c r="CW26" s="45">
        <f>($T26*$U26+$S26)*$BH26</f>
        <v/>
      </c>
      <c r="CX26" s="45">
        <f>($T26*$U26+$S26)*$BI26</f>
        <v/>
      </c>
      <c r="CY26" s="45">
        <f>IF(1=1,$R26,0)</f>
        <v/>
      </c>
      <c r="CZ26" s="45">
        <f>IF(2=1,$R26,0)</f>
        <v/>
      </c>
      <c r="DA26" s="45">
        <f>IF(3=1,$R26,0)</f>
        <v/>
      </c>
      <c r="DB26" s="45">
        <f>IF(4=1,$R26,0)</f>
        <v/>
      </c>
      <c r="DC26" s="45">
        <f>IF(5=1,$R26,0)</f>
        <v/>
      </c>
      <c r="DD26" s="45">
        <f>$CO26+$CT26+$CY26</f>
        <v/>
      </c>
      <c r="DE26" s="45">
        <f>$CP26+$CU26+$CZ26</f>
        <v/>
      </c>
      <c r="DF26" s="45">
        <f>$CQ26+$CV26+$DA26</f>
        <v/>
      </c>
      <c r="DG26" s="45">
        <f>$CR26+$CW26+$DB26</f>
        <v/>
      </c>
      <c r="DH26" s="45">
        <f>$CS26+$CX26+$DC26</f>
        <v/>
      </c>
      <c r="DI26" s="45">
        <f>$CY26</f>
        <v/>
      </c>
      <c r="DJ26" s="45">
        <f>$CZ26</f>
        <v/>
      </c>
      <c r="DK26" s="45">
        <f>$DA26</f>
        <v/>
      </c>
      <c r="DL26" s="45">
        <f>$DB26</f>
        <v/>
      </c>
      <c r="DM26" s="45">
        <f>$DC26</f>
        <v/>
      </c>
      <c r="DN26" s="45">
        <f>$CO26+$CT26</f>
        <v/>
      </c>
      <c r="DO26" s="45">
        <f>$CP26+$CU26</f>
        <v/>
      </c>
      <c r="DP26" s="45">
        <f>$CQ26+$CV26</f>
        <v/>
      </c>
      <c r="DQ26" s="45">
        <f>$CR26+$CW26</f>
        <v/>
      </c>
      <c r="DR26" s="45">
        <f>$CS26+$CX26</f>
        <v/>
      </c>
      <c r="DS26" s="45">
        <f>0</f>
        <v/>
      </c>
      <c r="DT26" s="45">
        <f>SUMPRODUCT($AZ26:$BD26,$DD26:$DH26)</f>
        <v/>
      </c>
      <c r="DU26" s="45">
        <f>SUM($DD26:$DF26)</f>
        <v/>
      </c>
      <c r="DV26" s="45">
        <f>SUM($DD26:$DH26)</f>
        <v/>
      </c>
      <c r="DW26" s="45">
        <f>SUMPRODUCT($AZ26:$BD26,$DI26:$DM26,$BJ26:$BN26)+SUMPRODUCT($AZ26:$BD26,$DN26:$DR26,$BO26:$BS26)-$DS26/(1+$AM26)^$AX26</f>
        <v/>
      </c>
      <c r="DX26" s="43">
        <f>IF($CE26&gt;0,ROUNDUP($CE26/$AP26,0),0)</f>
        <v/>
      </c>
      <c r="DY26" s="43">
        <f>IF($CF26&gt;0,ROUNDUP($CF26/$AP26,0),0)</f>
        <v/>
      </c>
      <c r="DZ26" s="43">
        <f>IF($CG26&gt;0,ROUNDUP($CG26/$AP26,0),0)</f>
        <v/>
      </c>
      <c r="EA26" s="43">
        <f>IF($CH26&gt;0,ROUNDUP($CH26/$AP26,0),0)</f>
        <v/>
      </c>
      <c r="EB26" s="43">
        <f>IF($CI26&gt;0,ROUNDUP($CI26/$AP26,0),0)</f>
        <v/>
      </c>
      <c r="EC26" s="43">
        <f>MAX($DX26,0)</f>
        <v/>
      </c>
      <c r="ED26" s="43">
        <f>MAX($DY26,$EC26)</f>
        <v/>
      </c>
      <c r="EE26" s="43">
        <f>MAX($DZ26,$ED26)</f>
        <v/>
      </c>
      <c r="EF26" s="43">
        <f>MAX($EA26,$EE26)</f>
        <v/>
      </c>
      <c r="EG26" s="43">
        <f>MAX($EB26,$EF26)</f>
        <v/>
      </c>
      <c r="EH26" s="43">
        <f>$EC26-0</f>
        <v/>
      </c>
      <c r="EI26" s="43">
        <f>$ED26-$EC26</f>
        <v/>
      </c>
      <c r="EJ26" s="43">
        <f>$EE26-$ED26</f>
        <v/>
      </c>
      <c r="EK26" s="43">
        <f>$EF26-$EE26</f>
        <v/>
      </c>
      <c r="EL26" s="43">
        <f>$EG26-$EF26</f>
        <v/>
      </c>
      <c r="EM26" s="43">
        <f>0</f>
        <v/>
      </c>
      <c r="EN26" s="43">
        <f>(1+$AY26=2)*$ER26</f>
        <v/>
      </c>
      <c r="EO26" s="43">
        <f>(1+$AY26=3)*$ER26+(2+$AY26=3)*$ES26</f>
        <v/>
      </c>
      <c r="EP26" s="43">
        <f>(1+$AY26=4)*$ER26+(2+$AY26=4)*$ES26+(3+$AY26=4)*$ET26</f>
        <v/>
      </c>
      <c r="EQ26" s="43">
        <f>(1+$AY26=5)*$ER26+(2+$AY26=5)*$ES26+(3+$AY26=5)*$ET26+(4+$AY26=5)*$EU26</f>
        <v/>
      </c>
      <c r="ER26" s="43">
        <f>$EH26+$EM26</f>
        <v/>
      </c>
      <c r="ES26" s="43">
        <f>$EI26+$EN26</f>
        <v/>
      </c>
      <c r="ET26" s="43">
        <f>$EJ26+$EO26</f>
        <v/>
      </c>
      <c r="EU26" s="43">
        <f>$EK26+$EP26</f>
        <v/>
      </c>
      <c r="EV26" s="43">
        <f>$EL26+$EQ26</f>
        <v/>
      </c>
      <c r="EW26" s="45">
        <f>$ER26*$V26</f>
        <v/>
      </c>
      <c r="EX26" s="45">
        <f>$ES26*$V26</f>
        <v/>
      </c>
      <c r="EY26" s="45">
        <f>$ET26*$V26</f>
        <v/>
      </c>
      <c r="EZ26" s="45">
        <f>$EU26*$V26</f>
        <v/>
      </c>
      <c r="FA26" s="45">
        <f>$EV26*$V26</f>
        <v/>
      </c>
      <c r="FB26" s="45">
        <f>$EM26*$V26*$X26</f>
        <v/>
      </c>
      <c r="FC26" s="45">
        <f>$EN26*$V26*$X26</f>
        <v/>
      </c>
      <c r="FD26" s="45">
        <f>$EO26*$V26*$X26</f>
        <v/>
      </c>
      <c r="FE26" s="45">
        <f>$EP26*$V26*$X26</f>
        <v/>
      </c>
      <c r="FF26" s="45">
        <f>$EQ26*$V26*$X26</f>
        <v/>
      </c>
      <c r="FG26" s="45">
        <f>$EC26*$V26*(1-$X26)/$AY26</f>
        <v/>
      </c>
      <c r="FH26" s="45">
        <f>$ED26*$V26*(1-$X26)/$AY26</f>
        <v/>
      </c>
      <c r="FI26" s="45">
        <f>$EE26*$V26*(1-$X26)/$AY26</f>
        <v/>
      </c>
      <c r="FJ26" s="45">
        <f>$EF26*$V26*(1-$X26)/$AY26</f>
        <v/>
      </c>
      <c r="FK26" s="45">
        <f>$EG26*$V26*(1-$X26)/$AY26</f>
        <v/>
      </c>
      <c r="FL26" s="45">
        <f>$EC26*$Y26*$Z26*$AA26*8760*$BE26</f>
        <v/>
      </c>
      <c r="FM26" s="45">
        <f>$ED26*$Y26*$Z26*$AA26*8760*$BF26</f>
        <v/>
      </c>
      <c r="FN26" s="45">
        <f>$EE26*$Y26*$Z26*$AA26*8760*$BG26</f>
        <v/>
      </c>
      <c r="FO26" s="45">
        <f>$EF26*$Y26*$Z26*$AA26*8760*$BH26</f>
        <v/>
      </c>
      <c r="FP26" s="45">
        <f>$EG26*$Y26*$Z26*$AA26*8760*$BI26</f>
        <v/>
      </c>
      <c r="FQ26" s="45">
        <f>IF($AC26&gt;0,$AC26,$EC26*$Y26*$AB26*12)*$BE26</f>
        <v/>
      </c>
      <c r="FR26" s="45">
        <f>IF($AC26&gt;0,$AC26,$ED26*$Y26*$AB26*12)*$BF26</f>
        <v/>
      </c>
      <c r="FS26" s="45">
        <f>IF($AC26&gt;0,$AC26,$EE26*$Y26*$AB26*12)*$BG26</f>
        <v/>
      </c>
      <c r="FT26" s="45">
        <f>IF($AC26&gt;0,$AC26,$EF26*$Y26*$AB26*12)*$BH26</f>
        <v/>
      </c>
      <c r="FU26" s="45">
        <f>IF($AC26&gt;0,$AC26,$EG26*$Y26*$AB26*12)*$BI26</f>
        <v/>
      </c>
      <c r="FV26" s="45">
        <f>$EC26*$V26*$AD26*$BE26</f>
        <v/>
      </c>
      <c r="FW26" s="45">
        <f>$ED26*$V26*$AD26*$BF26</f>
        <v/>
      </c>
      <c r="FX26" s="45">
        <f>$EE26*$V26*$AD26*$BG26</f>
        <v/>
      </c>
      <c r="FY26" s="45">
        <f>$EF26*$V26*$AD26*$BH26</f>
        <v/>
      </c>
      <c r="FZ26" s="45">
        <f>$EG26*$V26*$AD26*$BI26</f>
        <v/>
      </c>
      <c r="GA26" s="45">
        <f>$AE26*$BE26</f>
        <v/>
      </c>
      <c r="GB26" s="45">
        <f>$AE26*$BF26</f>
        <v/>
      </c>
      <c r="GC26" s="45">
        <f>$AE26*$BG26</f>
        <v/>
      </c>
      <c r="GD26" s="45">
        <f>$AE26*$BH26</f>
        <v/>
      </c>
      <c r="GE26" s="45">
        <f>$AE26*$BI26</f>
        <v/>
      </c>
      <c r="GF26" s="45">
        <f>$AF26*$AG26*$BE26</f>
        <v/>
      </c>
      <c r="GG26" s="45">
        <f>$AF26*$AG26*$BF26</f>
        <v/>
      </c>
      <c r="GH26" s="45">
        <f>$AF26*$AG26*$BG26</f>
        <v/>
      </c>
      <c r="GI26" s="45">
        <f>$AF26*$AG26*$BH26</f>
        <v/>
      </c>
      <c r="GJ26" s="45">
        <f>$AF26*$AG26*$BI26</f>
        <v/>
      </c>
      <c r="GK26" s="45">
        <f>IF(1=1,$AH26,0)</f>
        <v/>
      </c>
      <c r="GL26" s="45">
        <f>IF(2=1,$AH26,0)</f>
        <v/>
      </c>
      <c r="GM26" s="45">
        <f>IF(3=1,$AH26,0)</f>
        <v/>
      </c>
      <c r="GN26" s="45">
        <f>IF(4=1,$AH26,0)</f>
        <v/>
      </c>
      <c r="GO26" s="45">
        <f>IF(5=1,$AH26,0)</f>
        <v/>
      </c>
      <c r="GP26" s="45">
        <f>$FG26+$FL26+$FQ26+$FV26+$GA26+$GF26+$GK26</f>
        <v/>
      </c>
      <c r="GQ26" s="45">
        <f>$FH26+$FM26+$FR26+$FW26+$GB26+$GG26+$GL26</f>
        <v/>
      </c>
      <c r="GR26" s="45">
        <f>$FI26+$FN26+$FS26+$FX26+$GC26+$GH26+$GM26</f>
        <v/>
      </c>
      <c r="GS26" s="45">
        <f>$FJ26+$FO26+$FT26+$FY26+$GD26+$GI26+$GN26</f>
        <v/>
      </c>
      <c r="GT26" s="45">
        <f>$FK26+$FP26+$FU26+$FZ26+$GE26+$GJ26+$GO26</f>
        <v/>
      </c>
      <c r="GU26" s="45">
        <f>$EW26-$FB26+$GK26</f>
        <v/>
      </c>
      <c r="GV26" s="45">
        <f>$EX26-$FC26+$GL26</f>
        <v/>
      </c>
      <c r="GW26" s="45">
        <f>$EY26-$FD26+$GM26</f>
        <v/>
      </c>
      <c r="GX26" s="45">
        <f>$EZ26-$FE26+$GN26</f>
        <v/>
      </c>
      <c r="GY26" s="45">
        <f>$FA26-$FF26+$GO26</f>
        <v/>
      </c>
      <c r="GZ26" s="45">
        <f>$FL26+$FQ26+$FV26+$GA26+$GF26</f>
        <v/>
      </c>
      <c r="HA26" s="45">
        <f>$FM26+$FR26+$FW26+$GB26+$GG26</f>
        <v/>
      </c>
      <c r="HB26" s="45">
        <f>$FN26+$FS26+$FX26+$GC26+$GH26</f>
        <v/>
      </c>
      <c r="HC26" s="45">
        <f>$FO26+$FT26+$FY26+$GD26+$GI26</f>
        <v/>
      </c>
      <c r="HD26" s="45">
        <f>$FP26+$FU26+$FZ26+$GE26+$GJ26</f>
        <v/>
      </c>
      <c r="HE26" s="45">
        <f>((1&lt;=$AX26)*(1&gt;$AX26-$AY26))*$ER26*$V26*MAX(0,1-(1-$X26)*($AX26-1+1)/$AY26)+((2&lt;=$AX26)*(2&gt;$AX26-$AY26))*$ES26*$V26*MAX(0,1-(1-$X26)*($AX26-2+1)/$AY26)+((3&lt;=$AX26)*(3&gt;$AX26-$AY26))*$ET26*$V26*MAX(0,1-(1-$X26)*($AX26-3+1)/$AY26)+((4&lt;=$AX26)*(4&gt;$AX26-$AY26))*$EU26*$V26*MAX(0,1-(1-$X26)*($AX26-4+1)/$AY26)+((5&lt;=$AX26)*(5&gt;$AX26-$AY26))*$EV26*$V26*MAX(0,1-(1-$X26)*($AX26-5+1)/$AY26)</f>
        <v/>
      </c>
      <c r="HF26" s="45">
        <f>SUMPRODUCT($AZ26:$BD26,$GP26:$GT26)</f>
        <v/>
      </c>
      <c r="HG26" s="45">
        <f>SUM($GP26:$GR26)</f>
        <v/>
      </c>
      <c r="HH26" s="45">
        <f>SUM($GP26:$GT26)</f>
        <v/>
      </c>
      <c r="HI26" s="45">
        <f>SUMPRODUCT($AZ26:$BD26,$GU26:$GY26,$BJ26:$BN26)+SUMPRODUCT($AZ26:$BD26,$GZ26:$HD26,$BO26:$BS26)-$HE26/(1+$AM26)^$AX26</f>
        <v/>
      </c>
      <c r="HJ26" s="46">
        <f>MIN(1,MAX(0,IF(ISNUMBER($AJ26),$AJ26,IF($F26+$G26+$H26&gt;0,($G26+$H26)/($F26+$G26+$H26),0))*$AR26))</f>
        <v/>
      </c>
      <c r="HK26" s="25">
        <f>IF($HJ26&gt;0,1,0)</f>
        <v/>
      </c>
      <c r="HL26" s="25">
        <f>IF($HJ26&lt;1,1,0)</f>
        <v/>
      </c>
      <c r="HM26" s="43">
        <f>IF($CE26*$HJ26&gt;0,ROUNDUP($CE26*$HJ26/$AP26,0),0)</f>
        <v/>
      </c>
      <c r="HN26" s="43">
        <f>IF($CF26*$HJ26&gt;0,ROUNDUP($CF26*$HJ26/$AP26,0),0)</f>
        <v/>
      </c>
      <c r="HO26" s="43">
        <f>IF($CG26*$HJ26&gt;0,ROUNDUP($CG26*$HJ26/$AP26,0),0)</f>
        <v/>
      </c>
      <c r="HP26" s="43">
        <f>IF($CH26*$HJ26&gt;0,ROUNDUP($CH26*$HJ26/$AP26,0),0)</f>
        <v/>
      </c>
      <c r="HQ26" s="43">
        <f>IF($CI26*$HJ26&gt;0,ROUNDUP($CI26*$HJ26/$AP26,0),0)</f>
        <v/>
      </c>
      <c r="HR26" s="43">
        <f>MAX($HM26,0)</f>
        <v/>
      </c>
      <c r="HS26" s="43">
        <f>MAX($HN26,$HR26)</f>
        <v/>
      </c>
      <c r="HT26" s="43">
        <f>MAX($HO26,$HS26)</f>
        <v/>
      </c>
      <c r="HU26" s="43">
        <f>MAX($HP26,$HT26)</f>
        <v/>
      </c>
      <c r="HV26" s="43">
        <f>MAX($HQ26,$HU26)</f>
        <v/>
      </c>
      <c r="HW26" s="43">
        <f>$HR26-0</f>
        <v/>
      </c>
      <c r="HX26" s="43">
        <f>$HS26-$HR26</f>
        <v/>
      </c>
      <c r="HY26" s="43">
        <f>$HT26-$HS26</f>
        <v/>
      </c>
      <c r="HZ26" s="43">
        <f>$HU26-$HT26</f>
        <v/>
      </c>
      <c r="IA26" s="43">
        <f>$HV26-$HU26</f>
        <v/>
      </c>
      <c r="IB26" s="43">
        <f>0</f>
        <v/>
      </c>
      <c r="IC26" s="43">
        <f>(1+$AY26=2)*$IG26</f>
        <v/>
      </c>
      <c r="ID26" s="43">
        <f>(1+$AY26=3)*$IG26+(2+$AY26=3)*$IH26</f>
        <v/>
      </c>
      <c r="IE26" s="43">
        <f>(1+$AY26=4)*$IG26+(2+$AY26=4)*$IH26+(3+$AY26=4)*$II26</f>
        <v/>
      </c>
      <c r="IF26" s="43">
        <f>(1+$AY26=5)*$IG26+(2+$AY26=5)*$IH26+(3+$AY26=5)*$II26+(4+$AY26=5)*$IJ26</f>
        <v/>
      </c>
      <c r="IG26" s="43">
        <f>$HW26+$IB26</f>
        <v/>
      </c>
      <c r="IH26" s="43">
        <f>$HX26+$IC26</f>
        <v/>
      </c>
      <c r="II26" s="43">
        <f>$HY26+$ID26</f>
        <v/>
      </c>
      <c r="IJ26" s="43">
        <f>$HZ26+$IE26</f>
        <v/>
      </c>
      <c r="IK26" s="43">
        <f>$IA26+$IF26</f>
        <v/>
      </c>
      <c r="IL26" s="45">
        <f>$IG26*$V26</f>
        <v/>
      </c>
      <c r="IM26" s="45">
        <f>$IH26*$V26</f>
        <v/>
      </c>
      <c r="IN26" s="45">
        <f>$II26*$V26</f>
        <v/>
      </c>
      <c r="IO26" s="45">
        <f>$IJ26*$V26</f>
        <v/>
      </c>
      <c r="IP26" s="45">
        <f>$IK26*$V26</f>
        <v/>
      </c>
      <c r="IQ26" s="45">
        <f>$IB26*$V26*$X26</f>
        <v/>
      </c>
      <c r="IR26" s="45">
        <f>$IC26*$V26*$X26</f>
        <v/>
      </c>
      <c r="IS26" s="45">
        <f>$ID26*$V26*$X26</f>
        <v/>
      </c>
      <c r="IT26" s="45">
        <f>$IE26*$V26*$X26</f>
        <v/>
      </c>
      <c r="IU26" s="45">
        <f>$IF26*$V26*$X26</f>
        <v/>
      </c>
      <c r="IV26" s="45">
        <f>$HR26*$V26*(1-$X26)/$AY26</f>
        <v/>
      </c>
      <c r="IW26" s="45">
        <f>$HS26*$V26*(1-$X26)/$AY26</f>
        <v/>
      </c>
      <c r="IX26" s="45">
        <f>$HT26*$V26*(1-$X26)/$AY26</f>
        <v/>
      </c>
      <c r="IY26" s="45">
        <f>$HU26*$V26*(1-$X26)/$AY26</f>
        <v/>
      </c>
      <c r="IZ26" s="45">
        <f>$HV26*$V26*(1-$X26)/$AY26</f>
        <v/>
      </c>
      <c r="JA26" s="45">
        <f>$HR26*$Y26*$Z26*$AA26*8760*$BE26</f>
        <v/>
      </c>
      <c r="JB26" s="45">
        <f>$HS26*$Y26*$Z26*$AA26*8760*$BF26</f>
        <v/>
      </c>
      <c r="JC26" s="45">
        <f>$HT26*$Y26*$Z26*$AA26*8760*$BG26</f>
        <v/>
      </c>
      <c r="JD26" s="45">
        <f>$HU26*$Y26*$Z26*$AA26*8760*$BH26</f>
        <v/>
      </c>
      <c r="JE26" s="45">
        <f>$HV26*$Y26*$Z26*$AA26*8760*$BI26</f>
        <v/>
      </c>
      <c r="JF26" s="45">
        <f>IF($AC26&gt;0,$AC26*$HK26,$HR26*$Y26*$AB26*12)*$BE26</f>
        <v/>
      </c>
      <c r="JG26" s="45">
        <f>IF($AC26&gt;0,$AC26*$HK26,$HS26*$Y26*$AB26*12)*$BF26</f>
        <v/>
      </c>
      <c r="JH26" s="45">
        <f>IF($AC26&gt;0,$AC26*$HK26,$HT26*$Y26*$AB26*12)*$BG26</f>
        <v/>
      </c>
      <c r="JI26" s="45">
        <f>IF($AC26&gt;0,$AC26*$HK26,$HU26*$Y26*$AB26*12)*$BH26</f>
        <v/>
      </c>
      <c r="JJ26" s="45">
        <f>IF($AC26&gt;0,$AC26*$HK26,$HV26*$Y26*$AB26*12)*$BI26</f>
        <v/>
      </c>
      <c r="JK26" s="45">
        <f>$HR26*$V26*$AD26*$BE26</f>
        <v/>
      </c>
      <c r="JL26" s="45">
        <f>$HS26*$V26*$AD26*$BF26</f>
        <v/>
      </c>
      <c r="JM26" s="45">
        <f>$HT26*$V26*$AD26*$BG26</f>
        <v/>
      </c>
      <c r="JN26" s="45">
        <f>$HU26*$V26*$AD26*$BH26</f>
        <v/>
      </c>
      <c r="JO26" s="45">
        <f>$HV26*$V26*$AD26*$BI26</f>
        <v/>
      </c>
      <c r="JP26" s="45">
        <f>$AE26*$BE26*$HK26</f>
        <v/>
      </c>
      <c r="JQ26" s="45">
        <f>$AE26*$BF26*$HK26</f>
        <v/>
      </c>
      <c r="JR26" s="45">
        <f>$AE26*$BG26*$HK26</f>
        <v/>
      </c>
      <c r="JS26" s="45">
        <f>$AE26*$BH26*$HK26</f>
        <v/>
      </c>
      <c r="JT26" s="45">
        <f>$AE26*$BI26*$HK26</f>
        <v/>
      </c>
      <c r="JU26" s="45">
        <f>$AQ26*$AG26*$BE26*$HK26</f>
        <v/>
      </c>
      <c r="JV26" s="45">
        <f>$AQ26*$AG26*$BF26*$HK26</f>
        <v/>
      </c>
      <c r="JW26" s="45">
        <f>$AQ26*$AG26*$BG26*$HK26</f>
        <v/>
      </c>
      <c r="JX26" s="45">
        <f>$AQ26*$AG26*$BH26*$HK26</f>
        <v/>
      </c>
      <c r="JY26" s="45">
        <f>$AQ26*$AG26*$BI26*$HK26</f>
        <v/>
      </c>
      <c r="JZ26" s="45">
        <f>$BU26*(1-$HJ26)/1000000*$CJ26</f>
        <v/>
      </c>
      <c r="KA26" s="45">
        <f>$BV26*(1-$HJ26)/1000000*$CK26</f>
        <v/>
      </c>
      <c r="KB26" s="45">
        <f>$BW26*(1-$HJ26)/1000000*$CL26</f>
        <v/>
      </c>
      <c r="KC26" s="45">
        <f>$BX26*(1-$HJ26)/1000000*$CM26</f>
        <v/>
      </c>
      <c r="KD26" s="45">
        <f>$BY26*(1-$HJ26)/1000000*$CN26</f>
        <v/>
      </c>
      <c r="KE26" s="45">
        <f>$CT26*$HL26</f>
        <v/>
      </c>
      <c r="KF26" s="45">
        <f>$CU26*$HL26</f>
        <v/>
      </c>
      <c r="KG26" s="45">
        <f>$CV26*$HL26</f>
        <v/>
      </c>
      <c r="KH26" s="45">
        <f>$CW26*$HL26</f>
        <v/>
      </c>
      <c r="KI26" s="45">
        <f>$CX26*$HL26</f>
        <v/>
      </c>
      <c r="KJ26" s="45">
        <f>IF(1=1,$R26*$HL26+$AH26*$HK26+$AK26,0)</f>
        <v/>
      </c>
      <c r="KK26" s="45">
        <f>IF(2=1,$R26*$HL26+$AH26*$HK26+$AK26,0)</f>
        <v/>
      </c>
      <c r="KL26" s="45">
        <f>IF(3=1,$R26*$HL26+$AH26*$HK26+$AK26,0)</f>
        <v/>
      </c>
      <c r="KM26" s="45">
        <f>IF(4=1,$R26*$HL26+$AH26*$HK26+$AK26,0)</f>
        <v/>
      </c>
      <c r="KN26" s="45">
        <f>IF(5=1,$R26*$HL26+$AH26*$HK26+$AK26,0)</f>
        <v/>
      </c>
      <c r="KO26" s="45">
        <f>$IV26+$JA26+$JF26+$JK26+$JP26+$JU26+$JZ26+$KE26+$KJ26</f>
        <v/>
      </c>
      <c r="KP26" s="45">
        <f>$IW26+$JB26+$JG26+$JL26+$JQ26+$JV26+$KA26+$KF26+$KK26</f>
        <v/>
      </c>
      <c r="KQ26" s="45">
        <f>$IX26+$JC26+$JH26+$JM26+$JR26+$JW26+$KB26+$KG26+$KL26</f>
        <v/>
      </c>
      <c r="KR26" s="45">
        <f>$IY26+$JD26+$JI26+$JN26+$JS26+$JX26+$KC26+$KH26+$KM26</f>
        <v/>
      </c>
      <c r="KS26" s="45">
        <f>$IZ26+$JE26+$JJ26+$JO26+$JT26+$JY26+$KD26+$KI26+$KN26</f>
        <v/>
      </c>
      <c r="KT26" s="45">
        <f>$IL26-$IQ26+$KJ26</f>
        <v/>
      </c>
      <c r="KU26" s="45">
        <f>$IM26-$IR26+$KK26</f>
        <v/>
      </c>
      <c r="KV26" s="45">
        <f>$IN26-$IS26+$KL26</f>
        <v/>
      </c>
      <c r="KW26" s="45">
        <f>$IO26-$IT26+$KM26</f>
        <v/>
      </c>
      <c r="KX26" s="45">
        <f>$IP26-$IU26+$KN26</f>
        <v/>
      </c>
      <c r="KY26" s="45">
        <f>$JA26+$JF26+$JK26+$JP26+$JU26+$JZ26+$KE26</f>
        <v/>
      </c>
      <c r="KZ26" s="45">
        <f>$JB26+$JG26+$JL26+$JQ26+$JV26+$KA26+$KF26</f>
        <v/>
      </c>
      <c r="LA26" s="45">
        <f>$JC26+$JH26+$JM26+$JR26+$JW26+$KB26+$KG26</f>
        <v/>
      </c>
      <c r="LB26" s="45">
        <f>$JD26+$JI26+$JN26+$JS26+$JX26+$KC26+$KH26</f>
        <v/>
      </c>
      <c r="LC26" s="45">
        <f>$JE26+$JJ26+$JO26+$JT26+$JY26+$KD26+$KI26</f>
        <v/>
      </c>
      <c r="LD26" s="45">
        <f>((1&lt;=$AX26)*(1&gt;$AX26-$AY26))*$IG26*$V26*MAX(0,1-(1-$X26)*($AX26-1+1)/$AY26)+((2&lt;=$AX26)*(2&gt;$AX26-$AY26))*$IH26*$V26*MAX(0,1-(1-$X26)*($AX26-2+1)/$AY26)+((3&lt;=$AX26)*(3&gt;$AX26-$AY26))*$II26*$V26*MAX(0,1-(1-$X26)*($AX26-3+1)/$AY26)+((4&lt;=$AX26)*(4&gt;$AX26-$AY26))*$IJ26*$V26*MAX(0,1-(1-$X26)*($AX26-4+1)/$AY26)+((5&lt;=$AX26)*(5&gt;$AX26-$AY26))*$IK26*$V26*MAX(0,1-(1-$X26)*($AX26-5+1)/$AY26)</f>
        <v/>
      </c>
      <c r="LE26" s="45">
        <f>SUMPRODUCT($AZ26:$BD26,$KO26:$KS26)</f>
        <v/>
      </c>
      <c r="LF26" s="45">
        <f>SUM($KO26:$KQ26)</f>
        <v/>
      </c>
      <c r="LG26" s="45">
        <f>SUM($KO26:$KS26)</f>
        <v/>
      </c>
      <c r="LH26" s="45">
        <f>SUMPRODUCT($AZ26:$BD26,$KT26:$KX26,$BJ26:$BN26)+SUMPRODUCT($AZ26:$BD26,$KY26:$LC26,$BO26:$BS26)-$LD26/(1+$AM26)^$AX26</f>
        <v/>
      </c>
      <c r="LI26" s="43">
        <f>$BU26/1000000</f>
        <v/>
      </c>
      <c r="LJ26" s="44">
        <f>IF($LI26&gt;0,$DD26/$LI26,0)</f>
        <v/>
      </c>
      <c r="LK26" s="44">
        <f>IF($LI26&gt;0,$GP26/$LI26,0)</f>
        <v/>
      </c>
      <c r="LL26" s="44">
        <f>IF($LI26&gt;0,$KO26/$LI26,0)</f>
        <v/>
      </c>
      <c r="LM26" s="43">
        <f>$AP26*31536000/1000000</f>
        <v/>
      </c>
      <c r="LN26" s="43">
        <f>$EC26*$LM26</f>
        <v/>
      </c>
      <c r="LO26" s="45">
        <f>$FG26+$FL26+$FQ26+$FV26+$GA26+$GF26</f>
        <v/>
      </c>
      <c r="LP26" s="46">
        <f>IF($LN26*$CJ26&gt;0,MAX(0,($LO26-$CT26)/($LN26*$CJ26)),0)</f>
        <v/>
      </c>
      <c r="LQ26" s="46">
        <f>IF($LN26&gt;0,$LI26/$LN26,0)</f>
        <v/>
      </c>
      <c r="LR26" s="46">
        <f>1/($M26*$AI26)</f>
        <v/>
      </c>
      <c r="LS26" s="43">
        <f>$HR26*$LM26</f>
        <v/>
      </c>
      <c r="LT26" s="45">
        <f>$IV26+$JA26+$JF26+$JK26+$JP26+$JU26</f>
        <v/>
      </c>
      <c r="LU26" s="46">
        <f>IF($LS26*$CJ26&gt;0,$LT26/($LS26*$CJ26),0)</f>
        <v/>
      </c>
      <c r="LV26" s="46">
        <f>IF($LS26&gt;0,$LI26*$HJ26/$LS26,0)</f>
        <v/>
      </c>
      <c r="LW26" s="45">
        <f>$V26*(1-$X26)/$AY26+$Y26*$Z26*$AA26*8760+IF($AC26&gt;0,0,$Y26*$AB26*12)+$V26*$AD26</f>
        <v/>
      </c>
      <c r="LX26" s="46">
        <f>IF($LM26*$CJ26&gt;0,$LW26/($LM26*$CJ26),0)</f>
        <v/>
      </c>
      <c r="LY26" s="44">
        <f>IF($LM26*$LR26&gt;0,$LW26/($LM26*$LR26),0)</f>
        <v/>
      </c>
      <c r="LZ26" s="45">
        <f>$AE26+$AF26*$AG26+IF($AC26&gt;0,$AC26,0)-$CT26</f>
        <v/>
      </c>
      <c r="MA26" s="43">
        <f>IF($CJ26&gt;$LY26,MAX(0,$LZ26)/($CJ26-$LY26)*1000000,"Not reachable")</f>
        <v/>
      </c>
      <c r="MB26" s="47">
        <f>IF(AND(ISNUMBER($MA26),$BU26&gt;0),$MA26/$BU26,"n/a")</f>
        <v/>
      </c>
      <c r="MC26" s="47">
        <f>$B26*MAX(0,$D26-1)*$E26</f>
        <v/>
      </c>
      <c r="MD26" s="45">
        <f>$MC26*$C26</f>
        <v/>
      </c>
      <c r="ME26" s="45">
        <f>$MD26*SUMPRODUCT($AZ26:$BD26,$BO26:$BS26)</f>
        <v/>
      </c>
      <c r="MF26" s="45">
        <f>IF($AO26="Yes",$ME26-$DW26,0)</f>
        <v/>
      </c>
      <c r="MG26" s="45">
        <f>IF($AO26="Yes",$ME26-$HI26,0)</f>
        <v/>
      </c>
      <c r="MH26" s="45">
        <f>IF($AO26="Yes",$ME26-$LH26,0)</f>
        <v/>
      </c>
      <c r="MI26" s="45">
        <f>IF($AO26="Yes",$MD26-$DD26,0)</f>
        <v/>
      </c>
      <c r="MJ26" s="25">
        <f>IF(AND($DW26&lt;=$HI26,$DW26&lt;=$LH26),"Rent the Frontier",IF($HI26&lt;=$LH26,"Own the Frontier","Hybrid"))</f>
        <v/>
      </c>
      <c r="MK26" s="25">
        <f>IF(AND($DT26&lt;=$HF26,$DT26&lt;=$LE26),"Rent the Frontier",IF($HF26&lt;=$LE26,"Own the Frontier","Hybrid"))</f>
        <v/>
      </c>
    </row>
    <row r="27">
      <c r="A27" s="25">
        <f>Sensitivity!A30&amp;" ("&amp;Sensitivity!C30&amp;")"</f>
        <v/>
      </c>
      <c r="B27" s="25">
        <f>Inputs!$B$5</f>
        <v/>
      </c>
      <c r="C27" s="25">
        <f>Inputs!$B$6</f>
        <v/>
      </c>
      <c r="D27" s="25">
        <f>Inputs!$B$7</f>
        <v/>
      </c>
      <c r="E27" s="25">
        <f>Inputs!$B$8</f>
        <v/>
      </c>
      <c r="F27" s="25">
        <f>Inputs!$B$12</f>
        <v/>
      </c>
      <c r="G27" s="25">
        <f>Inputs!$B$13</f>
        <v/>
      </c>
      <c r="H27" s="25">
        <f>Inputs!$B$14</f>
        <v/>
      </c>
      <c r="I27" s="25">
        <f>Inputs!$B$18</f>
        <v/>
      </c>
      <c r="J27" s="25">
        <f>Inputs!$B$19</f>
        <v/>
      </c>
      <c r="K27" s="25">
        <f>Inputs!$B$20</f>
        <v/>
      </c>
      <c r="L27" s="25">
        <f>Inputs!$B$21</f>
        <v/>
      </c>
      <c r="M27" s="25">
        <f>Inputs!$B$22</f>
        <v/>
      </c>
      <c r="N27" s="25">
        <f>Inputs!$B$23</f>
        <v/>
      </c>
      <c r="O27" s="25">
        <f>Inputs!$B$26</f>
        <v/>
      </c>
      <c r="P27" s="25">
        <f>Inputs!$B$27</f>
        <v/>
      </c>
      <c r="Q27" s="25">
        <f>Inputs!$B$28</f>
        <v/>
      </c>
      <c r="R27" s="25">
        <f>Inputs!$B$29</f>
        <v/>
      </c>
      <c r="S27" s="25">
        <f>Inputs!$B$30</f>
        <v/>
      </c>
      <c r="T27" s="25">
        <f>Inputs!$B$31</f>
        <v/>
      </c>
      <c r="U27" s="25">
        <f>Inputs!$B$32</f>
        <v/>
      </c>
      <c r="V27" s="25">
        <f>Inputs!$B$35</f>
        <v/>
      </c>
      <c r="W27" s="25">
        <f>Inputs!$B$36</f>
        <v/>
      </c>
      <c r="X27" s="25">
        <f>Inputs!$B$37</f>
        <v/>
      </c>
      <c r="Y27" s="25">
        <f>Inputs!$B$38</f>
        <v/>
      </c>
      <c r="Z27" s="25">
        <f>Inputs!$B$39</f>
        <v/>
      </c>
      <c r="AA27" s="25">
        <f>Inputs!$B$40</f>
        <v/>
      </c>
      <c r="AB27" s="25">
        <f>Inputs!$B$41</f>
        <v/>
      </c>
      <c r="AC27" s="25">
        <f>Inputs!$B$42</f>
        <v/>
      </c>
      <c r="AD27" s="25">
        <f>Inputs!$B$43</f>
        <v/>
      </c>
      <c r="AE27" s="25">
        <f>Inputs!$B$44</f>
        <v/>
      </c>
      <c r="AF27" s="25">
        <f>Inputs!$B$45</f>
        <v/>
      </c>
      <c r="AG27" s="25">
        <f>Inputs!$B$46</f>
        <v/>
      </c>
      <c r="AH27" s="25">
        <f>Inputs!$B$47</f>
        <v/>
      </c>
      <c r="AI27" s="25">
        <f>Inputs!$B$48</f>
        <v/>
      </c>
      <c r="AJ27" s="25">
        <f>IF(ISNUMBER(Inputs!$B$51),Inputs!$B$51,"")</f>
        <v/>
      </c>
      <c r="AK27" s="25">
        <f>Inputs!$B$52</f>
        <v/>
      </c>
      <c r="AL27" s="25">
        <f>Inputs!$B$55</f>
        <v/>
      </c>
      <c r="AM27" s="25">
        <f>Inputs!$B$56*Sensitivity!$D$30</f>
        <v/>
      </c>
      <c r="AN27" s="25">
        <f>Inputs!$B$57</f>
        <v/>
      </c>
      <c r="AO27" s="25">
        <f>Inputs!$B$58</f>
        <v/>
      </c>
      <c r="AP27" s="25">
        <f>Inputs!$B$61</f>
        <v/>
      </c>
      <c r="AQ27" s="25">
        <f>Inputs!$B$62</f>
        <v/>
      </c>
      <c r="AR27" s="25">
        <f>1</f>
        <v/>
      </c>
      <c r="AS27" s="25" t="n">
        <v>1</v>
      </c>
      <c r="AT27" s="25" t="n">
        <v>2</v>
      </c>
      <c r="AU27" s="25" t="n">
        <v>3</v>
      </c>
      <c r="AV27" s="25" t="n">
        <v>4</v>
      </c>
      <c r="AW27" s="25" t="n">
        <v>5</v>
      </c>
      <c r="AX27" s="25">
        <f>MIN(5,MAX(1,ROUND($AL27,0)))</f>
        <v/>
      </c>
      <c r="AY27" s="25">
        <f>MAX(1,ROUND($W27,0))</f>
        <v/>
      </c>
      <c r="AZ27" s="25">
        <f>IF(1&lt;=$AX27,1,0)</f>
        <v/>
      </c>
      <c r="BA27" s="25">
        <f>IF(2&lt;=$AX27,1,0)</f>
        <v/>
      </c>
      <c r="BB27" s="25">
        <f>IF(3&lt;=$AX27,1,0)</f>
        <v/>
      </c>
      <c r="BC27" s="25">
        <f>IF(4&lt;=$AX27,1,0)</f>
        <v/>
      </c>
      <c r="BD27" s="25">
        <f>IF(5&lt;=$AX27,1,0)</f>
        <v/>
      </c>
      <c r="BE27" s="52">
        <f>(1+$AN27)^(1-1)</f>
        <v/>
      </c>
      <c r="BF27" s="52">
        <f>(1+$AN27)^(2-1)</f>
        <v/>
      </c>
      <c r="BG27" s="52">
        <f>(1+$AN27)^(3-1)</f>
        <v/>
      </c>
      <c r="BH27" s="52">
        <f>(1+$AN27)^(4-1)</f>
        <v/>
      </c>
      <c r="BI27" s="52">
        <f>(1+$AN27)^(5-1)</f>
        <v/>
      </c>
      <c r="BJ27" s="53">
        <f>1/(1+$AM27)^(1-1)</f>
        <v/>
      </c>
      <c r="BK27" s="53">
        <f>1/(1+$AM27)^(2-1)</f>
        <v/>
      </c>
      <c r="BL27" s="53">
        <f>1/(1+$AM27)^(3-1)</f>
        <v/>
      </c>
      <c r="BM27" s="53">
        <f>1/(1+$AM27)^(4-1)</f>
        <v/>
      </c>
      <c r="BN27" s="53">
        <f>1/(1+$AM27)^(5-1)</f>
        <v/>
      </c>
      <c r="BO27" s="53">
        <f>1/(1+$AM27)^1</f>
        <v/>
      </c>
      <c r="BP27" s="53">
        <f>1/(1+$AM27)^2</f>
        <v/>
      </c>
      <c r="BQ27" s="53">
        <f>1/(1+$AM27)^3</f>
        <v/>
      </c>
      <c r="BR27" s="53">
        <f>1/(1+$AM27)^4</f>
        <v/>
      </c>
      <c r="BS27" s="53">
        <f>1/(1+$AM27)^5</f>
        <v/>
      </c>
      <c r="BT27" s="43">
        <f>IF(AND($I27="Direct monthly estimate",$J27&gt;0),$J27,$D27*$K27*$L27)</f>
        <v/>
      </c>
      <c r="BU27" s="43">
        <f>$BT27*$B27*12*(1+$N27)^(1-1)</f>
        <v/>
      </c>
      <c r="BV27" s="43">
        <f>$BT27*$B27*12*(1+$N27)^(2-1)</f>
        <v/>
      </c>
      <c r="BW27" s="43">
        <f>$BT27*$B27*12*(1+$N27)^(3-1)</f>
        <v/>
      </c>
      <c r="BX27" s="43">
        <f>$BT27*$B27*12*(1+$N27)^(4-1)</f>
        <v/>
      </c>
      <c r="BY27" s="43">
        <f>$BT27*$B27*12*(1+$N27)^(5-1)</f>
        <v/>
      </c>
      <c r="BZ27" s="43">
        <f>$BU27/31536000*$M27</f>
        <v/>
      </c>
      <c r="CA27" s="43">
        <f>$BV27/31536000*$M27</f>
        <v/>
      </c>
      <c r="CB27" s="43">
        <f>$BW27/31536000*$M27</f>
        <v/>
      </c>
      <c r="CC27" s="43">
        <f>$BX27/31536000*$M27</f>
        <v/>
      </c>
      <c r="CD27" s="43">
        <f>$BY27/31536000*$M27</f>
        <v/>
      </c>
      <c r="CE27" s="43">
        <f>$BZ27*$AI27</f>
        <v/>
      </c>
      <c r="CF27" s="43">
        <f>$CA27*$AI27</f>
        <v/>
      </c>
      <c r="CG27" s="43">
        <f>$CB27*$AI27</f>
        <v/>
      </c>
      <c r="CH27" s="43">
        <f>$CC27*$AI27</f>
        <v/>
      </c>
      <c r="CI27" s="43">
        <f>$CD27*$AI27</f>
        <v/>
      </c>
      <c r="CJ27" s="44">
        <f>$O27*(1-$Q27)*(1-$P27)^(1-1)</f>
        <v/>
      </c>
      <c r="CK27" s="44">
        <f>$O27*(1-$Q27)*(1-$P27)^(2-1)</f>
        <v/>
      </c>
      <c r="CL27" s="44">
        <f>$O27*(1-$Q27)*(1-$P27)^(3-1)</f>
        <v/>
      </c>
      <c r="CM27" s="44">
        <f>$O27*(1-$Q27)*(1-$P27)^(4-1)</f>
        <v/>
      </c>
      <c r="CN27" s="44">
        <f>$O27*(1-$Q27)*(1-$P27)^(5-1)</f>
        <v/>
      </c>
      <c r="CO27" s="45">
        <f>$BU27/1000000*$CJ27</f>
        <v/>
      </c>
      <c r="CP27" s="45">
        <f>$BV27/1000000*$CK27</f>
        <v/>
      </c>
      <c r="CQ27" s="45">
        <f>$BW27/1000000*$CL27</f>
        <v/>
      </c>
      <c r="CR27" s="45">
        <f>$BX27/1000000*$CM27</f>
        <v/>
      </c>
      <c r="CS27" s="45">
        <f>$BY27/1000000*$CN27</f>
        <v/>
      </c>
      <c r="CT27" s="45">
        <f>($T27*$U27+$S27)*$BE27</f>
        <v/>
      </c>
      <c r="CU27" s="45">
        <f>($T27*$U27+$S27)*$BF27</f>
        <v/>
      </c>
      <c r="CV27" s="45">
        <f>($T27*$U27+$S27)*$BG27</f>
        <v/>
      </c>
      <c r="CW27" s="45">
        <f>($T27*$U27+$S27)*$BH27</f>
        <v/>
      </c>
      <c r="CX27" s="45">
        <f>($T27*$U27+$S27)*$BI27</f>
        <v/>
      </c>
      <c r="CY27" s="45">
        <f>IF(1=1,$R27,0)</f>
        <v/>
      </c>
      <c r="CZ27" s="45">
        <f>IF(2=1,$R27,0)</f>
        <v/>
      </c>
      <c r="DA27" s="45">
        <f>IF(3=1,$R27,0)</f>
        <v/>
      </c>
      <c r="DB27" s="45">
        <f>IF(4=1,$R27,0)</f>
        <v/>
      </c>
      <c r="DC27" s="45">
        <f>IF(5=1,$R27,0)</f>
        <v/>
      </c>
      <c r="DD27" s="45">
        <f>$CO27+$CT27+$CY27</f>
        <v/>
      </c>
      <c r="DE27" s="45">
        <f>$CP27+$CU27+$CZ27</f>
        <v/>
      </c>
      <c r="DF27" s="45">
        <f>$CQ27+$CV27+$DA27</f>
        <v/>
      </c>
      <c r="DG27" s="45">
        <f>$CR27+$CW27+$DB27</f>
        <v/>
      </c>
      <c r="DH27" s="45">
        <f>$CS27+$CX27+$DC27</f>
        <v/>
      </c>
      <c r="DI27" s="45">
        <f>$CY27</f>
        <v/>
      </c>
      <c r="DJ27" s="45">
        <f>$CZ27</f>
        <v/>
      </c>
      <c r="DK27" s="45">
        <f>$DA27</f>
        <v/>
      </c>
      <c r="DL27" s="45">
        <f>$DB27</f>
        <v/>
      </c>
      <c r="DM27" s="45">
        <f>$DC27</f>
        <v/>
      </c>
      <c r="DN27" s="45">
        <f>$CO27+$CT27</f>
        <v/>
      </c>
      <c r="DO27" s="45">
        <f>$CP27+$CU27</f>
        <v/>
      </c>
      <c r="DP27" s="45">
        <f>$CQ27+$CV27</f>
        <v/>
      </c>
      <c r="DQ27" s="45">
        <f>$CR27+$CW27</f>
        <v/>
      </c>
      <c r="DR27" s="45">
        <f>$CS27+$CX27</f>
        <v/>
      </c>
      <c r="DS27" s="45">
        <f>0</f>
        <v/>
      </c>
      <c r="DT27" s="45">
        <f>SUMPRODUCT($AZ27:$BD27,$DD27:$DH27)</f>
        <v/>
      </c>
      <c r="DU27" s="45">
        <f>SUM($DD27:$DF27)</f>
        <v/>
      </c>
      <c r="DV27" s="45">
        <f>SUM($DD27:$DH27)</f>
        <v/>
      </c>
      <c r="DW27" s="45">
        <f>SUMPRODUCT($AZ27:$BD27,$DI27:$DM27,$BJ27:$BN27)+SUMPRODUCT($AZ27:$BD27,$DN27:$DR27,$BO27:$BS27)-$DS27/(1+$AM27)^$AX27</f>
        <v/>
      </c>
      <c r="DX27" s="43">
        <f>IF($CE27&gt;0,ROUNDUP($CE27/$AP27,0),0)</f>
        <v/>
      </c>
      <c r="DY27" s="43">
        <f>IF($CF27&gt;0,ROUNDUP($CF27/$AP27,0),0)</f>
        <v/>
      </c>
      <c r="DZ27" s="43">
        <f>IF($CG27&gt;0,ROUNDUP($CG27/$AP27,0),0)</f>
        <v/>
      </c>
      <c r="EA27" s="43">
        <f>IF($CH27&gt;0,ROUNDUP($CH27/$AP27,0),0)</f>
        <v/>
      </c>
      <c r="EB27" s="43">
        <f>IF($CI27&gt;0,ROUNDUP($CI27/$AP27,0),0)</f>
        <v/>
      </c>
      <c r="EC27" s="43">
        <f>MAX($DX27,0)</f>
        <v/>
      </c>
      <c r="ED27" s="43">
        <f>MAX($DY27,$EC27)</f>
        <v/>
      </c>
      <c r="EE27" s="43">
        <f>MAX($DZ27,$ED27)</f>
        <v/>
      </c>
      <c r="EF27" s="43">
        <f>MAX($EA27,$EE27)</f>
        <v/>
      </c>
      <c r="EG27" s="43">
        <f>MAX($EB27,$EF27)</f>
        <v/>
      </c>
      <c r="EH27" s="43">
        <f>$EC27-0</f>
        <v/>
      </c>
      <c r="EI27" s="43">
        <f>$ED27-$EC27</f>
        <v/>
      </c>
      <c r="EJ27" s="43">
        <f>$EE27-$ED27</f>
        <v/>
      </c>
      <c r="EK27" s="43">
        <f>$EF27-$EE27</f>
        <v/>
      </c>
      <c r="EL27" s="43">
        <f>$EG27-$EF27</f>
        <v/>
      </c>
      <c r="EM27" s="43">
        <f>0</f>
        <v/>
      </c>
      <c r="EN27" s="43">
        <f>(1+$AY27=2)*$ER27</f>
        <v/>
      </c>
      <c r="EO27" s="43">
        <f>(1+$AY27=3)*$ER27+(2+$AY27=3)*$ES27</f>
        <v/>
      </c>
      <c r="EP27" s="43">
        <f>(1+$AY27=4)*$ER27+(2+$AY27=4)*$ES27+(3+$AY27=4)*$ET27</f>
        <v/>
      </c>
      <c r="EQ27" s="43">
        <f>(1+$AY27=5)*$ER27+(2+$AY27=5)*$ES27+(3+$AY27=5)*$ET27+(4+$AY27=5)*$EU27</f>
        <v/>
      </c>
      <c r="ER27" s="43">
        <f>$EH27+$EM27</f>
        <v/>
      </c>
      <c r="ES27" s="43">
        <f>$EI27+$EN27</f>
        <v/>
      </c>
      <c r="ET27" s="43">
        <f>$EJ27+$EO27</f>
        <v/>
      </c>
      <c r="EU27" s="43">
        <f>$EK27+$EP27</f>
        <v/>
      </c>
      <c r="EV27" s="43">
        <f>$EL27+$EQ27</f>
        <v/>
      </c>
      <c r="EW27" s="45">
        <f>$ER27*$V27</f>
        <v/>
      </c>
      <c r="EX27" s="45">
        <f>$ES27*$V27</f>
        <v/>
      </c>
      <c r="EY27" s="45">
        <f>$ET27*$V27</f>
        <v/>
      </c>
      <c r="EZ27" s="45">
        <f>$EU27*$V27</f>
        <v/>
      </c>
      <c r="FA27" s="45">
        <f>$EV27*$V27</f>
        <v/>
      </c>
      <c r="FB27" s="45">
        <f>$EM27*$V27*$X27</f>
        <v/>
      </c>
      <c r="FC27" s="45">
        <f>$EN27*$V27*$X27</f>
        <v/>
      </c>
      <c r="FD27" s="45">
        <f>$EO27*$V27*$X27</f>
        <v/>
      </c>
      <c r="FE27" s="45">
        <f>$EP27*$V27*$X27</f>
        <v/>
      </c>
      <c r="FF27" s="45">
        <f>$EQ27*$V27*$X27</f>
        <v/>
      </c>
      <c r="FG27" s="45">
        <f>$EC27*$V27*(1-$X27)/$AY27</f>
        <v/>
      </c>
      <c r="FH27" s="45">
        <f>$ED27*$V27*(1-$X27)/$AY27</f>
        <v/>
      </c>
      <c r="FI27" s="45">
        <f>$EE27*$V27*(1-$X27)/$AY27</f>
        <v/>
      </c>
      <c r="FJ27" s="45">
        <f>$EF27*$V27*(1-$X27)/$AY27</f>
        <v/>
      </c>
      <c r="FK27" s="45">
        <f>$EG27*$V27*(1-$X27)/$AY27</f>
        <v/>
      </c>
      <c r="FL27" s="45">
        <f>$EC27*$Y27*$Z27*$AA27*8760*$BE27</f>
        <v/>
      </c>
      <c r="FM27" s="45">
        <f>$ED27*$Y27*$Z27*$AA27*8760*$BF27</f>
        <v/>
      </c>
      <c r="FN27" s="45">
        <f>$EE27*$Y27*$Z27*$AA27*8760*$BG27</f>
        <v/>
      </c>
      <c r="FO27" s="45">
        <f>$EF27*$Y27*$Z27*$AA27*8760*$BH27</f>
        <v/>
      </c>
      <c r="FP27" s="45">
        <f>$EG27*$Y27*$Z27*$AA27*8760*$BI27</f>
        <v/>
      </c>
      <c r="FQ27" s="45">
        <f>IF($AC27&gt;0,$AC27,$EC27*$Y27*$AB27*12)*$BE27</f>
        <v/>
      </c>
      <c r="FR27" s="45">
        <f>IF($AC27&gt;0,$AC27,$ED27*$Y27*$AB27*12)*$BF27</f>
        <v/>
      </c>
      <c r="FS27" s="45">
        <f>IF($AC27&gt;0,$AC27,$EE27*$Y27*$AB27*12)*$BG27</f>
        <v/>
      </c>
      <c r="FT27" s="45">
        <f>IF($AC27&gt;0,$AC27,$EF27*$Y27*$AB27*12)*$BH27</f>
        <v/>
      </c>
      <c r="FU27" s="45">
        <f>IF($AC27&gt;0,$AC27,$EG27*$Y27*$AB27*12)*$BI27</f>
        <v/>
      </c>
      <c r="FV27" s="45">
        <f>$EC27*$V27*$AD27*$BE27</f>
        <v/>
      </c>
      <c r="FW27" s="45">
        <f>$ED27*$V27*$AD27*$BF27</f>
        <v/>
      </c>
      <c r="FX27" s="45">
        <f>$EE27*$V27*$AD27*$BG27</f>
        <v/>
      </c>
      <c r="FY27" s="45">
        <f>$EF27*$V27*$AD27*$BH27</f>
        <v/>
      </c>
      <c r="FZ27" s="45">
        <f>$EG27*$V27*$AD27*$BI27</f>
        <v/>
      </c>
      <c r="GA27" s="45">
        <f>$AE27*$BE27</f>
        <v/>
      </c>
      <c r="GB27" s="45">
        <f>$AE27*$BF27</f>
        <v/>
      </c>
      <c r="GC27" s="45">
        <f>$AE27*$BG27</f>
        <v/>
      </c>
      <c r="GD27" s="45">
        <f>$AE27*$BH27</f>
        <v/>
      </c>
      <c r="GE27" s="45">
        <f>$AE27*$BI27</f>
        <v/>
      </c>
      <c r="GF27" s="45">
        <f>$AF27*$AG27*$BE27</f>
        <v/>
      </c>
      <c r="GG27" s="45">
        <f>$AF27*$AG27*$BF27</f>
        <v/>
      </c>
      <c r="GH27" s="45">
        <f>$AF27*$AG27*$BG27</f>
        <v/>
      </c>
      <c r="GI27" s="45">
        <f>$AF27*$AG27*$BH27</f>
        <v/>
      </c>
      <c r="GJ27" s="45">
        <f>$AF27*$AG27*$BI27</f>
        <v/>
      </c>
      <c r="GK27" s="45">
        <f>IF(1=1,$AH27,0)</f>
        <v/>
      </c>
      <c r="GL27" s="45">
        <f>IF(2=1,$AH27,0)</f>
        <v/>
      </c>
      <c r="GM27" s="45">
        <f>IF(3=1,$AH27,0)</f>
        <v/>
      </c>
      <c r="GN27" s="45">
        <f>IF(4=1,$AH27,0)</f>
        <v/>
      </c>
      <c r="GO27" s="45">
        <f>IF(5=1,$AH27,0)</f>
        <v/>
      </c>
      <c r="GP27" s="45">
        <f>$FG27+$FL27+$FQ27+$FV27+$GA27+$GF27+$GK27</f>
        <v/>
      </c>
      <c r="GQ27" s="45">
        <f>$FH27+$FM27+$FR27+$FW27+$GB27+$GG27+$GL27</f>
        <v/>
      </c>
      <c r="GR27" s="45">
        <f>$FI27+$FN27+$FS27+$FX27+$GC27+$GH27+$GM27</f>
        <v/>
      </c>
      <c r="GS27" s="45">
        <f>$FJ27+$FO27+$FT27+$FY27+$GD27+$GI27+$GN27</f>
        <v/>
      </c>
      <c r="GT27" s="45">
        <f>$FK27+$FP27+$FU27+$FZ27+$GE27+$GJ27+$GO27</f>
        <v/>
      </c>
      <c r="GU27" s="45">
        <f>$EW27-$FB27+$GK27</f>
        <v/>
      </c>
      <c r="GV27" s="45">
        <f>$EX27-$FC27+$GL27</f>
        <v/>
      </c>
      <c r="GW27" s="45">
        <f>$EY27-$FD27+$GM27</f>
        <v/>
      </c>
      <c r="GX27" s="45">
        <f>$EZ27-$FE27+$GN27</f>
        <v/>
      </c>
      <c r="GY27" s="45">
        <f>$FA27-$FF27+$GO27</f>
        <v/>
      </c>
      <c r="GZ27" s="45">
        <f>$FL27+$FQ27+$FV27+$GA27+$GF27</f>
        <v/>
      </c>
      <c r="HA27" s="45">
        <f>$FM27+$FR27+$FW27+$GB27+$GG27</f>
        <v/>
      </c>
      <c r="HB27" s="45">
        <f>$FN27+$FS27+$FX27+$GC27+$GH27</f>
        <v/>
      </c>
      <c r="HC27" s="45">
        <f>$FO27+$FT27+$FY27+$GD27+$GI27</f>
        <v/>
      </c>
      <c r="HD27" s="45">
        <f>$FP27+$FU27+$FZ27+$GE27+$GJ27</f>
        <v/>
      </c>
      <c r="HE27" s="45">
        <f>((1&lt;=$AX27)*(1&gt;$AX27-$AY27))*$ER27*$V27*MAX(0,1-(1-$X27)*($AX27-1+1)/$AY27)+((2&lt;=$AX27)*(2&gt;$AX27-$AY27))*$ES27*$V27*MAX(0,1-(1-$X27)*($AX27-2+1)/$AY27)+((3&lt;=$AX27)*(3&gt;$AX27-$AY27))*$ET27*$V27*MAX(0,1-(1-$X27)*($AX27-3+1)/$AY27)+((4&lt;=$AX27)*(4&gt;$AX27-$AY27))*$EU27*$V27*MAX(0,1-(1-$X27)*($AX27-4+1)/$AY27)+((5&lt;=$AX27)*(5&gt;$AX27-$AY27))*$EV27*$V27*MAX(0,1-(1-$X27)*($AX27-5+1)/$AY27)</f>
        <v/>
      </c>
      <c r="HF27" s="45">
        <f>SUMPRODUCT($AZ27:$BD27,$GP27:$GT27)</f>
        <v/>
      </c>
      <c r="HG27" s="45">
        <f>SUM($GP27:$GR27)</f>
        <v/>
      </c>
      <c r="HH27" s="45">
        <f>SUM($GP27:$GT27)</f>
        <v/>
      </c>
      <c r="HI27" s="45">
        <f>SUMPRODUCT($AZ27:$BD27,$GU27:$GY27,$BJ27:$BN27)+SUMPRODUCT($AZ27:$BD27,$GZ27:$HD27,$BO27:$BS27)-$HE27/(1+$AM27)^$AX27</f>
        <v/>
      </c>
      <c r="HJ27" s="46">
        <f>MIN(1,MAX(0,IF(ISNUMBER($AJ27),$AJ27,IF($F27+$G27+$H27&gt;0,($G27+$H27)/($F27+$G27+$H27),0))*$AR27))</f>
        <v/>
      </c>
      <c r="HK27" s="25">
        <f>IF($HJ27&gt;0,1,0)</f>
        <v/>
      </c>
      <c r="HL27" s="25">
        <f>IF($HJ27&lt;1,1,0)</f>
        <v/>
      </c>
      <c r="HM27" s="43">
        <f>IF($CE27*$HJ27&gt;0,ROUNDUP($CE27*$HJ27/$AP27,0),0)</f>
        <v/>
      </c>
      <c r="HN27" s="43">
        <f>IF($CF27*$HJ27&gt;0,ROUNDUP($CF27*$HJ27/$AP27,0),0)</f>
        <v/>
      </c>
      <c r="HO27" s="43">
        <f>IF($CG27*$HJ27&gt;0,ROUNDUP($CG27*$HJ27/$AP27,0),0)</f>
        <v/>
      </c>
      <c r="HP27" s="43">
        <f>IF($CH27*$HJ27&gt;0,ROUNDUP($CH27*$HJ27/$AP27,0),0)</f>
        <v/>
      </c>
      <c r="HQ27" s="43">
        <f>IF($CI27*$HJ27&gt;0,ROUNDUP($CI27*$HJ27/$AP27,0),0)</f>
        <v/>
      </c>
      <c r="HR27" s="43">
        <f>MAX($HM27,0)</f>
        <v/>
      </c>
      <c r="HS27" s="43">
        <f>MAX($HN27,$HR27)</f>
        <v/>
      </c>
      <c r="HT27" s="43">
        <f>MAX($HO27,$HS27)</f>
        <v/>
      </c>
      <c r="HU27" s="43">
        <f>MAX($HP27,$HT27)</f>
        <v/>
      </c>
      <c r="HV27" s="43">
        <f>MAX($HQ27,$HU27)</f>
        <v/>
      </c>
      <c r="HW27" s="43">
        <f>$HR27-0</f>
        <v/>
      </c>
      <c r="HX27" s="43">
        <f>$HS27-$HR27</f>
        <v/>
      </c>
      <c r="HY27" s="43">
        <f>$HT27-$HS27</f>
        <v/>
      </c>
      <c r="HZ27" s="43">
        <f>$HU27-$HT27</f>
        <v/>
      </c>
      <c r="IA27" s="43">
        <f>$HV27-$HU27</f>
        <v/>
      </c>
      <c r="IB27" s="43">
        <f>0</f>
        <v/>
      </c>
      <c r="IC27" s="43">
        <f>(1+$AY27=2)*$IG27</f>
        <v/>
      </c>
      <c r="ID27" s="43">
        <f>(1+$AY27=3)*$IG27+(2+$AY27=3)*$IH27</f>
        <v/>
      </c>
      <c r="IE27" s="43">
        <f>(1+$AY27=4)*$IG27+(2+$AY27=4)*$IH27+(3+$AY27=4)*$II27</f>
        <v/>
      </c>
      <c r="IF27" s="43">
        <f>(1+$AY27=5)*$IG27+(2+$AY27=5)*$IH27+(3+$AY27=5)*$II27+(4+$AY27=5)*$IJ27</f>
        <v/>
      </c>
      <c r="IG27" s="43">
        <f>$HW27+$IB27</f>
        <v/>
      </c>
      <c r="IH27" s="43">
        <f>$HX27+$IC27</f>
        <v/>
      </c>
      <c r="II27" s="43">
        <f>$HY27+$ID27</f>
        <v/>
      </c>
      <c r="IJ27" s="43">
        <f>$HZ27+$IE27</f>
        <v/>
      </c>
      <c r="IK27" s="43">
        <f>$IA27+$IF27</f>
        <v/>
      </c>
      <c r="IL27" s="45">
        <f>$IG27*$V27</f>
        <v/>
      </c>
      <c r="IM27" s="45">
        <f>$IH27*$V27</f>
        <v/>
      </c>
      <c r="IN27" s="45">
        <f>$II27*$V27</f>
        <v/>
      </c>
      <c r="IO27" s="45">
        <f>$IJ27*$V27</f>
        <v/>
      </c>
      <c r="IP27" s="45">
        <f>$IK27*$V27</f>
        <v/>
      </c>
      <c r="IQ27" s="45">
        <f>$IB27*$V27*$X27</f>
        <v/>
      </c>
      <c r="IR27" s="45">
        <f>$IC27*$V27*$X27</f>
        <v/>
      </c>
      <c r="IS27" s="45">
        <f>$ID27*$V27*$X27</f>
        <v/>
      </c>
      <c r="IT27" s="45">
        <f>$IE27*$V27*$X27</f>
        <v/>
      </c>
      <c r="IU27" s="45">
        <f>$IF27*$V27*$X27</f>
        <v/>
      </c>
      <c r="IV27" s="45">
        <f>$HR27*$V27*(1-$X27)/$AY27</f>
        <v/>
      </c>
      <c r="IW27" s="45">
        <f>$HS27*$V27*(1-$X27)/$AY27</f>
        <v/>
      </c>
      <c r="IX27" s="45">
        <f>$HT27*$V27*(1-$X27)/$AY27</f>
        <v/>
      </c>
      <c r="IY27" s="45">
        <f>$HU27*$V27*(1-$X27)/$AY27</f>
        <v/>
      </c>
      <c r="IZ27" s="45">
        <f>$HV27*$V27*(1-$X27)/$AY27</f>
        <v/>
      </c>
      <c r="JA27" s="45">
        <f>$HR27*$Y27*$Z27*$AA27*8760*$BE27</f>
        <v/>
      </c>
      <c r="JB27" s="45">
        <f>$HS27*$Y27*$Z27*$AA27*8760*$BF27</f>
        <v/>
      </c>
      <c r="JC27" s="45">
        <f>$HT27*$Y27*$Z27*$AA27*8760*$BG27</f>
        <v/>
      </c>
      <c r="JD27" s="45">
        <f>$HU27*$Y27*$Z27*$AA27*8760*$BH27</f>
        <v/>
      </c>
      <c r="JE27" s="45">
        <f>$HV27*$Y27*$Z27*$AA27*8760*$BI27</f>
        <v/>
      </c>
      <c r="JF27" s="45">
        <f>IF($AC27&gt;0,$AC27*$HK27,$HR27*$Y27*$AB27*12)*$BE27</f>
        <v/>
      </c>
      <c r="JG27" s="45">
        <f>IF($AC27&gt;0,$AC27*$HK27,$HS27*$Y27*$AB27*12)*$BF27</f>
        <v/>
      </c>
      <c r="JH27" s="45">
        <f>IF($AC27&gt;0,$AC27*$HK27,$HT27*$Y27*$AB27*12)*$BG27</f>
        <v/>
      </c>
      <c r="JI27" s="45">
        <f>IF($AC27&gt;0,$AC27*$HK27,$HU27*$Y27*$AB27*12)*$BH27</f>
        <v/>
      </c>
      <c r="JJ27" s="45">
        <f>IF($AC27&gt;0,$AC27*$HK27,$HV27*$Y27*$AB27*12)*$BI27</f>
        <v/>
      </c>
      <c r="JK27" s="45">
        <f>$HR27*$V27*$AD27*$BE27</f>
        <v/>
      </c>
      <c r="JL27" s="45">
        <f>$HS27*$V27*$AD27*$BF27</f>
        <v/>
      </c>
      <c r="JM27" s="45">
        <f>$HT27*$V27*$AD27*$BG27</f>
        <v/>
      </c>
      <c r="JN27" s="45">
        <f>$HU27*$V27*$AD27*$BH27</f>
        <v/>
      </c>
      <c r="JO27" s="45">
        <f>$HV27*$V27*$AD27*$BI27</f>
        <v/>
      </c>
      <c r="JP27" s="45">
        <f>$AE27*$BE27*$HK27</f>
        <v/>
      </c>
      <c r="JQ27" s="45">
        <f>$AE27*$BF27*$HK27</f>
        <v/>
      </c>
      <c r="JR27" s="45">
        <f>$AE27*$BG27*$HK27</f>
        <v/>
      </c>
      <c r="JS27" s="45">
        <f>$AE27*$BH27*$HK27</f>
        <v/>
      </c>
      <c r="JT27" s="45">
        <f>$AE27*$BI27*$HK27</f>
        <v/>
      </c>
      <c r="JU27" s="45">
        <f>$AQ27*$AG27*$BE27*$HK27</f>
        <v/>
      </c>
      <c r="JV27" s="45">
        <f>$AQ27*$AG27*$BF27*$HK27</f>
        <v/>
      </c>
      <c r="JW27" s="45">
        <f>$AQ27*$AG27*$BG27*$HK27</f>
        <v/>
      </c>
      <c r="JX27" s="45">
        <f>$AQ27*$AG27*$BH27*$HK27</f>
        <v/>
      </c>
      <c r="JY27" s="45">
        <f>$AQ27*$AG27*$BI27*$HK27</f>
        <v/>
      </c>
      <c r="JZ27" s="45">
        <f>$BU27*(1-$HJ27)/1000000*$CJ27</f>
        <v/>
      </c>
      <c r="KA27" s="45">
        <f>$BV27*(1-$HJ27)/1000000*$CK27</f>
        <v/>
      </c>
      <c r="KB27" s="45">
        <f>$BW27*(1-$HJ27)/1000000*$CL27</f>
        <v/>
      </c>
      <c r="KC27" s="45">
        <f>$BX27*(1-$HJ27)/1000000*$CM27</f>
        <v/>
      </c>
      <c r="KD27" s="45">
        <f>$BY27*(1-$HJ27)/1000000*$CN27</f>
        <v/>
      </c>
      <c r="KE27" s="45">
        <f>$CT27*$HL27</f>
        <v/>
      </c>
      <c r="KF27" s="45">
        <f>$CU27*$HL27</f>
        <v/>
      </c>
      <c r="KG27" s="45">
        <f>$CV27*$HL27</f>
        <v/>
      </c>
      <c r="KH27" s="45">
        <f>$CW27*$HL27</f>
        <v/>
      </c>
      <c r="KI27" s="45">
        <f>$CX27*$HL27</f>
        <v/>
      </c>
      <c r="KJ27" s="45">
        <f>IF(1=1,$R27*$HL27+$AH27*$HK27+$AK27,0)</f>
        <v/>
      </c>
      <c r="KK27" s="45">
        <f>IF(2=1,$R27*$HL27+$AH27*$HK27+$AK27,0)</f>
        <v/>
      </c>
      <c r="KL27" s="45">
        <f>IF(3=1,$R27*$HL27+$AH27*$HK27+$AK27,0)</f>
        <v/>
      </c>
      <c r="KM27" s="45">
        <f>IF(4=1,$R27*$HL27+$AH27*$HK27+$AK27,0)</f>
        <v/>
      </c>
      <c r="KN27" s="45">
        <f>IF(5=1,$R27*$HL27+$AH27*$HK27+$AK27,0)</f>
        <v/>
      </c>
      <c r="KO27" s="45">
        <f>$IV27+$JA27+$JF27+$JK27+$JP27+$JU27+$JZ27+$KE27+$KJ27</f>
        <v/>
      </c>
      <c r="KP27" s="45">
        <f>$IW27+$JB27+$JG27+$JL27+$JQ27+$JV27+$KA27+$KF27+$KK27</f>
        <v/>
      </c>
      <c r="KQ27" s="45">
        <f>$IX27+$JC27+$JH27+$JM27+$JR27+$JW27+$KB27+$KG27+$KL27</f>
        <v/>
      </c>
      <c r="KR27" s="45">
        <f>$IY27+$JD27+$JI27+$JN27+$JS27+$JX27+$KC27+$KH27+$KM27</f>
        <v/>
      </c>
      <c r="KS27" s="45">
        <f>$IZ27+$JE27+$JJ27+$JO27+$JT27+$JY27+$KD27+$KI27+$KN27</f>
        <v/>
      </c>
      <c r="KT27" s="45">
        <f>$IL27-$IQ27+$KJ27</f>
        <v/>
      </c>
      <c r="KU27" s="45">
        <f>$IM27-$IR27+$KK27</f>
        <v/>
      </c>
      <c r="KV27" s="45">
        <f>$IN27-$IS27+$KL27</f>
        <v/>
      </c>
      <c r="KW27" s="45">
        <f>$IO27-$IT27+$KM27</f>
        <v/>
      </c>
      <c r="KX27" s="45">
        <f>$IP27-$IU27+$KN27</f>
        <v/>
      </c>
      <c r="KY27" s="45">
        <f>$JA27+$JF27+$JK27+$JP27+$JU27+$JZ27+$KE27</f>
        <v/>
      </c>
      <c r="KZ27" s="45">
        <f>$JB27+$JG27+$JL27+$JQ27+$JV27+$KA27+$KF27</f>
        <v/>
      </c>
      <c r="LA27" s="45">
        <f>$JC27+$JH27+$JM27+$JR27+$JW27+$KB27+$KG27</f>
        <v/>
      </c>
      <c r="LB27" s="45">
        <f>$JD27+$JI27+$JN27+$JS27+$JX27+$KC27+$KH27</f>
        <v/>
      </c>
      <c r="LC27" s="45">
        <f>$JE27+$JJ27+$JO27+$JT27+$JY27+$KD27+$KI27</f>
        <v/>
      </c>
      <c r="LD27" s="45">
        <f>((1&lt;=$AX27)*(1&gt;$AX27-$AY27))*$IG27*$V27*MAX(0,1-(1-$X27)*($AX27-1+1)/$AY27)+((2&lt;=$AX27)*(2&gt;$AX27-$AY27))*$IH27*$V27*MAX(0,1-(1-$X27)*($AX27-2+1)/$AY27)+((3&lt;=$AX27)*(3&gt;$AX27-$AY27))*$II27*$V27*MAX(0,1-(1-$X27)*($AX27-3+1)/$AY27)+((4&lt;=$AX27)*(4&gt;$AX27-$AY27))*$IJ27*$V27*MAX(0,1-(1-$X27)*($AX27-4+1)/$AY27)+((5&lt;=$AX27)*(5&gt;$AX27-$AY27))*$IK27*$V27*MAX(0,1-(1-$X27)*($AX27-5+1)/$AY27)</f>
        <v/>
      </c>
      <c r="LE27" s="45">
        <f>SUMPRODUCT($AZ27:$BD27,$KO27:$KS27)</f>
        <v/>
      </c>
      <c r="LF27" s="45">
        <f>SUM($KO27:$KQ27)</f>
        <v/>
      </c>
      <c r="LG27" s="45">
        <f>SUM($KO27:$KS27)</f>
        <v/>
      </c>
      <c r="LH27" s="45">
        <f>SUMPRODUCT($AZ27:$BD27,$KT27:$KX27,$BJ27:$BN27)+SUMPRODUCT($AZ27:$BD27,$KY27:$LC27,$BO27:$BS27)-$LD27/(1+$AM27)^$AX27</f>
        <v/>
      </c>
      <c r="LI27" s="43">
        <f>$BU27/1000000</f>
        <v/>
      </c>
      <c r="LJ27" s="44">
        <f>IF($LI27&gt;0,$DD27/$LI27,0)</f>
        <v/>
      </c>
      <c r="LK27" s="44">
        <f>IF($LI27&gt;0,$GP27/$LI27,0)</f>
        <v/>
      </c>
      <c r="LL27" s="44">
        <f>IF($LI27&gt;0,$KO27/$LI27,0)</f>
        <v/>
      </c>
      <c r="LM27" s="43">
        <f>$AP27*31536000/1000000</f>
        <v/>
      </c>
      <c r="LN27" s="43">
        <f>$EC27*$LM27</f>
        <v/>
      </c>
      <c r="LO27" s="45">
        <f>$FG27+$FL27+$FQ27+$FV27+$GA27+$GF27</f>
        <v/>
      </c>
      <c r="LP27" s="46">
        <f>IF($LN27*$CJ27&gt;0,MAX(0,($LO27-$CT27)/($LN27*$CJ27)),0)</f>
        <v/>
      </c>
      <c r="LQ27" s="46">
        <f>IF($LN27&gt;0,$LI27/$LN27,0)</f>
        <v/>
      </c>
      <c r="LR27" s="46">
        <f>1/($M27*$AI27)</f>
        <v/>
      </c>
      <c r="LS27" s="43">
        <f>$HR27*$LM27</f>
        <v/>
      </c>
      <c r="LT27" s="45">
        <f>$IV27+$JA27+$JF27+$JK27+$JP27+$JU27</f>
        <v/>
      </c>
      <c r="LU27" s="46">
        <f>IF($LS27*$CJ27&gt;0,$LT27/($LS27*$CJ27),0)</f>
        <v/>
      </c>
      <c r="LV27" s="46">
        <f>IF($LS27&gt;0,$LI27*$HJ27/$LS27,0)</f>
        <v/>
      </c>
      <c r="LW27" s="45">
        <f>$V27*(1-$X27)/$AY27+$Y27*$Z27*$AA27*8760+IF($AC27&gt;0,0,$Y27*$AB27*12)+$V27*$AD27</f>
        <v/>
      </c>
      <c r="LX27" s="46">
        <f>IF($LM27*$CJ27&gt;0,$LW27/($LM27*$CJ27),0)</f>
        <v/>
      </c>
      <c r="LY27" s="44">
        <f>IF($LM27*$LR27&gt;0,$LW27/($LM27*$LR27),0)</f>
        <v/>
      </c>
      <c r="LZ27" s="45">
        <f>$AE27+$AF27*$AG27+IF($AC27&gt;0,$AC27,0)-$CT27</f>
        <v/>
      </c>
      <c r="MA27" s="43">
        <f>IF($CJ27&gt;$LY27,MAX(0,$LZ27)/($CJ27-$LY27)*1000000,"Not reachable")</f>
        <v/>
      </c>
      <c r="MB27" s="47">
        <f>IF(AND(ISNUMBER($MA27),$BU27&gt;0),$MA27/$BU27,"n/a")</f>
        <v/>
      </c>
      <c r="MC27" s="47">
        <f>$B27*MAX(0,$D27-1)*$E27</f>
        <v/>
      </c>
      <c r="MD27" s="45">
        <f>$MC27*$C27</f>
        <v/>
      </c>
      <c r="ME27" s="45">
        <f>$MD27*SUMPRODUCT($AZ27:$BD27,$BO27:$BS27)</f>
        <v/>
      </c>
      <c r="MF27" s="45">
        <f>IF($AO27="Yes",$ME27-$DW27,0)</f>
        <v/>
      </c>
      <c r="MG27" s="45">
        <f>IF($AO27="Yes",$ME27-$HI27,0)</f>
        <v/>
      </c>
      <c r="MH27" s="45">
        <f>IF($AO27="Yes",$ME27-$LH27,0)</f>
        <v/>
      </c>
      <c r="MI27" s="45">
        <f>IF($AO27="Yes",$MD27-$DD27,0)</f>
        <v/>
      </c>
      <c r="MJ27" s="25">
        <f>IF(AND($DW27&lt;=$HI27,$DW27&lt;=$LH27),"Rent the Frontier",IF($HI27&lt;=$LH27,"Own the Frontier","Hybrid"))</f>
        <v/>
      </c>
      <c r="MK27" s="25">
        <f>IF(AND($DT27&lt;=$HF27,$DT27&lt;=$LE27),"Rent the Frontier",IF($HF27&lt;=$LE27,"Own the Frontier","Hybrid"))</f>
        <v/>
      </c>
    </row>
    <row r="28">
      <c r="A28" s="25">
        <f>Sensitivity!A31&amp;" ("&amp;Sensitivity!C31&amp;")"</f>
        <v/>
      </c>
      <c r="B28" s="25">
        <f>Inputs!$B$5</f>
        <v/>
      </c>
      <c r="C28" s="25">
        <f>Inputs!$B$6</f>
        <v/>
      </c>
      <c r="D28" s="25">
        <f>Inputs!$B$7</f>
        <v/>
      </c>
      <c r="E28" s="25">
        <f>Inputs!$B$8</f>
        <v/>
      </c>
      <c r="F28" s="25">
        <f>Inputs!$B$12</f>
        <v/>
      </c>
      <c r="G28" s="25">
        <f>Inputs!$B$13</f>
        <v/>
      </c>
      <c r="H28" s="25">
        <f>Inputs!$B$14</f>
        <v/>
      </c>
      <c r="I28" s="25">
        <f>Inputs!$B$18</f>
        <v/>
      </c>
      <c r="J28" s="25">
        <f>Inputs!$B$19</f>
        <v/>
      </c>
      <c r="K28" s="25">
        <f>Inputs!$B$20</f>
        <v/>
      </c>
      <c r="L28" s="25">
        <f>Inputs!$B$21</f>
        <v/>
      </c>
      <c r="M28" s="25">
        <f>Inputs!$B$22</f>
        <v/>
      </c>
      <c r="N28" s="25">
        <f>Inputs!$B$23</f>
        <v/>
      </c>
      <c r="O28" s="25">
        <f>Inputs!$B$26</f>
        <v/>
      </c>
      <c r="P28" s="25">
        <f>Inputs!$B$27</f>
        <v/>
      </c>
      <c r="Q28" s="25">
        <f>Inputs!$B$28</f>
        <v/>
      </c>
      <c r="R28" s="25">
        <f>Inputs!$B$29</f>
        <v/>
      </c>
      <c r="S28" s="25">
        <f>Inputs!$B$30</f>
        <v/>
      </c>
      <c r="T28" s="25">
        <f>Inputs!$B$31</f>
        <v/>
      </c>
      <c r="U28" s="25">
        <f>Inputs!$B$32</f>
        <v/>
      </c>
      <c r="V28" s="25">
        <f>Inputs!$B$35</f>
        <v/>
      </c>
      <c r="W28" s="25">
        <f>Inputs!$B$36</f>
        <v/>
      </c>
      <c r="X28" s="25">
        <f>Inputs!$B$37</f>
        <v/>
      </c>
      <c r="Y28" s="25">
        <f>Inputs!$B$38</f>
        <v/>
      </c>
      <c r="Z28" s="25">
        <f>Inputs!$B$39</f>
        <v/>
      </c>
      <c r="AA28" s="25">
        <f>Inputs!$B$40</f>
        <v/>
      </c>
      <c r="AB28" s="25">
        <f>Inputs!$B$41</f>
        <v/>
      </c>
      <c r="AC28" s="25">
        <f>Inputs!$B$42</f>
        <v/>
      </c>
      <c r="AD28" s="25">
        <f>Inputs!$B$43</f>
        <v/>
      </c>
      <c r="AE28" s="25">
        <f>Inputs!$B$44</f>
        <v/>
      </c>
      <c r="AF28" s="25">
        <f>Inputs!$B$45</f>
        <v/>
      </c>
      <c r="AG28" s="25">
        <f>Inputs!$B$46</f>
        <v/>
      </c>
      <c r="AH28" s="25">
        <f>Inputs!$B$47</f>
        <v/>
      </c>
      <c r="AI28" s="25">
        <f>Inputs!$B$48</f>
        <v/>
      </c>
      <c r="AJ28" s="25">
        <f>IF(ISNUMBER(Inputs!$B$51),Inputs!$B$51,"")</f>
        <v/>
      </c>
      <c r="AK28" s="25">
        <f>Inputs!$B$52</f>
        <v/>
      </c>
      <c r="AL28" s="25">
        <f>Inputs!$B$55</f>
        <v/>
      </c>
      <c r="AM28" s="25">
        <f>Inputs!$B$56*Sensitivity!$D$31</f>
        <v/>
      </c>
      <c r="AN28" s="25">
        <f>Inputs!$B$57</f>
        <v/>
      </c>
      <c r="AO28" s="25">
        <f>Inputs!$B$58</f>
        <v/>
      </c>
      <c r="AP28" s="25">
        <f>Inputs!$B$61</f>
        <v/>
      </c>
      <c r="AQ28" s="25">
        <f>Inputs!$B$62</f>
        <v/>
      </c>
      <c r="AR28" s="25">
        <f>1</f>
        <v/>
      </c>
      <c r="AS28" s="25" t="n">
        <v>1</v>
      </c>
      <c r="AT28" s="25" t="n">
        <v>2</v>
      </c>
      <c r="AU28" s="25" t="n">
        <v>3</v>
      </c>
      <c r="AV28" s="25" t="n">
        <v>4</v>
      </c>
      <c r="AW28" s="25" t="n">
        <v>5</v>
      </c>
      <c r="AX28" s="25">
        <f>MIN(5,MAX(1,ROUND($AL28,0)))</f>
        <v/>
      </c>
      <c r="AY28" s="25">
        <f>MAX(1,ROUND($W28,0))</f>
        <v/>
      </c>
      <c r="AZ28" s="25">
        <f>IF(1&lt;=$AX28,1,0)</f>
        <v/>
      </c>
      <c r="BA28" s="25">
        <f>IF(2&lt;=$AX28,1,0)</f>
        <v/>
      </c>
      <c r="BB28" s="25">
        <f>IF(3&lt;=$AX28,1,0)</f>
        <v/>
      </c>
      <c r="BC28" s="25">
        <f>IF(4&lt;=$AX28,1,0)</f>
        <v/>
      </c>
      <c r="BD28" s="25">
        <f>IF(5&lt;=$AX28,1,0)</f>
        <v/>
      </c>
      <c r="BE28" s="52">
        <f>(1+$AN28)^(1-1)</f>
        <v/>
      </c>
      <c r="BF28" s="52">
        <f>(1+$AN28)^(2-1)</f>
        <v/>
      </c>
      <c r="BG28" s="52">
        <f>(1+$AN28)^(3-1)</f>
        <v/>
      </c>
      <c r="BH28" s="52">
        <f>(1+$AN28)^(4-1)</f>
        <v/>
      </c>
      <c r="BI28" s="52">
        <f>(1+$AN28)^(5-1)</f>
        <v/>
      </c>
      <c r="BJ28" s="53">
        <f>1/(1+$AM28)^(1-1)</f>
        <v/>
      </c>
      <c r="BK28" s="53">
        <f>1/(1+$AM28)^(2-1)</f>
        <v/>
      </c>
      <c r="BL28" s="53">
        <f>1/(1+$AM28)^(3-1)</f>
        <v/>
      </c>
      <c r="BM28" s="53">
        <f>1/(1+$AM28)^(4-1)</f>
        <v/>
      </c>
      <c r="BN28" s="53">
        <f>1/(1+$AM28)^(5-1)</f>
        <v/>
      </c>
      <c r="BO28" s="53">
        <f>1/(1+$AM28)^1</f>
        <v/>
      </c>
      <c r="BP28" s="53">
        <f>1/(1+$AM28)^2</f>
        <v/>
      </c>
      <c r="BQ28" s="53">
        <f>1/(1+$AM28)^3</f>
        <v/>
      </c>
      <c r="BR28" s="53">
        <f>1/(1+$AM28)^4</f>
        <v/>
      </c>
      <c r="BS28" s="53">
        <f>1/(1+$AM28)^5</f>
        <v/>
      </c>
      <c r="BT28" s="43">
        <f>IF(AND($I28="Direct monthly estimate",$J28&gt;0),$J28,$D28*$K28*$L28)</f>
        <v/>
      </c>
      <c r="BU28" s="43">
        <f>$BT28*$B28*12*(1+$N28)^(1-1)</f>
        <v/>
      </c>
      <c r="BV28" s="43">
        <f>$BT28*$B28*12*(1+$N28)^(2-1)</f>
        <v/>
      </c>
      <c r="BW28" s="43">
        <f>$BT28*$B28*12*(1+$N28)^(3-1)</f>
        <v/>
      </c>
      <c r="BX28" s="43">
        <f>$BT28*$B28*12*(1+$N28)^(4-1)</f>
        <v/>
      </c>
      <c r="BY28" s="43">
        <f>$BT28*$B28*12*(1+$N28)^(5-1)</f>
        <v/>
      </c>
      <c r="BZ28" s="43">
        <f>$BU28/31536000*$M28</f>
        <v/>
      </c>
      <c r="CA28" s="43">
        <f>$BV28/31536000*$M28</f>
        <v/>
      </c>
      <c r="CB28" s="43">
        <f>$BW28/31536000*$M28</f>
        <v/>
      </c>
      <c r="CC28" s="43">
        <f>$BX28/31536000*$M28</f>
        <v/>
      </c>
      <c r="CD28" s="43">
        <f>$BY28/31536000*$M28</f>
        <v/>
      </c>
      <c r="CE28" s="43">
        <f>$BZ28*$AI28</f>
        <v/>
      </c>
      <c r="CF28" s="43">
        <f>$CA28*$AI28</f>
        <v/>
      </c>
      <c r="CG28" s="43">
        <f>$CB28*$AI28</f>
        <v/>
      </c>
      <c r="CH28" s="43">
        <f>$CC28*$AI28</f>
        <v/>
      </c>
      <c r="CI28" s="43">
        <f>$CD28*$AI28</f>
        <v/>
      </c>
      <c r="CJ28" s="44">
        <f>$O28*(1-$Q28)*(1-$P28)^(1-1)</f>
        <v/>
      </c>
      <c r="CK28" s="44">
        <f>$O28*(1-$Q28)*(1-$P28)^(2-1)</f>
        <v/>
      </c>
      <c r="CL28" s="44">
        <f>$O28*(1-$Q28)*(1-$P28)^(3-1)</f>
        <v/>
      </c>
      <c r="CM28" s="44">
        <f>$O28*(1-$Q28)*(1-$P28)^(4-1)</f>
        <v/>
      </c>
      <c r="CN28" s="44">
        <f>$O28*(1-$Q28)*(1-$P28)^(5-1)</f>
        <v/>
      </c>
      <c r="CO28" s="45">
        <f>$BU28/1000000*$CJ28</f>
        <v/>
      </c>
      <c r="CP28" s="45">
        <f>$BV28/1000000*$CK28</f>
        <v/>
      </c>
      <c r="CQ28" s="45">
        <f>$BW28/1000000*$CL28</f>
        <v/>
      </c>
      <c r="CR28" s="45">
        <f>$BX28/1000000*$CM28</f>
        <v/>
      </c>
      <c r="CS28" s="45">
        <f>$BY28/1000000*$CN28</f>
        <v/>
      </c>
      <c r="CT28" s="45">
        <f>($T28*$U28+$S28)*$BE28</f>
        <v/>
      </c>
      <c r="CU28" s="45">
        <f>($T28*$U28+$S28)*$BF28</f>
        <v/>
      </c>
      <c r="CV28" s="45">
        <f>($T28*$U28+$S28)*$BG28</f>
        <v/>
      </c>
      <c r="CW28" s="45">
        <f>($T28*$U28+$S28)*$BH28</f>
        <v/>
      </c>
      <c r="CX28" s="45">
        <f>($T28*$U28+$S28)*$BI28</f>
        <v/>
      </c>
      <c r="CY28" s="45">
        <f>IF(1=1,$R28,0)</f>
        <v/>
      </c>
      <c r="CZ28" s="45">
        <f>IF(2=1,$R28,0)</f>
        <v/>
      </c>
      <c r="DA28" s="45">
        <f>IF(3=1,$R28,0)</f>
        <v/>
      </c>
      <c r="DB28" s="45">
        <f>IF(4=1,$R28,0)</f>
        <v/>
      </c>
      <c r="DC28" s="45">
        <f>IF(5=1,$R28,0)</f>
        <v/>
      </c>
      <c r="DD28" s="45">
        <f>$CO28+$CT28+$CY28</f>
        <v/>
      </c>
      <c r="DE28" s="45">
        <f>$CP28+$CU28+$CZ28</f>
        <v/>
      </c>
      <c r="DF28" s="45">
        <f>$CQ28+$CV28+$DA28</f>
        <v/>
      </c>
      <c r="DG28" s="45">
        <f>$CR28+$CW28+$DB28</f>
        <v/>
      </c>
      <c r="DH28" s="45">
        <f>$CS28+$CX28+$DC28</f>
        <v/>
      </c>
      <c r="DI28" s="45">
        <f>$CY28</f>
        <v/>
      </c>
      <c r="DJ28" s="45">
        <f>$CZ28</f>
        <v/>
      </c>
      <c r="DK28" s="45">
        <f>$DA28</f>
        <v/>
      </c>
      <c r="DL28" s="45">
        <f>$DB28</f>
        <v/>
      </c>
      <c r="DM28" s="45">
        <f>$DC28</f>
        <v/>
      </c>
      <c r="DN28" s="45">
        <f>$CO28+$CT28</f>
        <v/>
      </c>
      <c r="DO28" s="45">
        <f>$CP28+$CU28</f>
        <v/>
      </c>
      <c r="DP28" s="45">
        <f>$CQ28+$CV28</f>
        <v/>
      </c>
      <c r="DQ28" s="45">
        <f>$CR28+$CW28</f>
        <v/>
      </c>
      <c r="DR28" s="45">
        <f>$CS28+$CX28</f>
        <v/>
      </c>
      <c r="DS28" s="45">
        <f>0</f>
        <v/>
      </c>
      <c r="DT28" s="45">
        <f>SUMPRODUCT($AZ28:$BD28,$DD28:$DH28)</f>
        <v/>
      </c>
      <c r="DU28" s="45">
        <f>SUM($DD28:$DF28)</f>
        <v/>
      </c>
      <c r="DV28" s="45">
        <f>SUM($DD28:$DH28)</f>
        <v/>
      </c>
      <c r="DW28" s="45">
        <f>SUMPRODUCT($AZ28:$BD28,$DI28:$DM28,$BJ28:$BN28)+SUMPRODUCT($AZ28:$BD28,$DN28:$DR28,$BO28:$BS28)-$DS28/(1+$AM28)^$AX28</f>
        <v/>
      </c>
      <c r="DX28" s="43">
        <f>IF($CE28&gt;0,ROUNDUP($CE28/$AP28,0),0)</f>
        <v/>
      </c>
      <c r="DY28" s="43">
        <f>IF($CF28&gt;0,ROUNDUP($CF28/$AP28,0),0)</f>
        <v/>
      </c>
      <c r="DZ28" s="43">
        <f>IF($CG28&gt;0,ROUNDUP($CG28/$AP28,0),0)</f>
        <v/>
      </c>
      <c r="EA28" s="43">
        <f>IF($CH28&gt;0,ROUNDUP($CH28/$AP28,0),0)</f>
        <v/>
      </c>
      <c r="EB28" s="43">
        <f>IF($CI28&gt;0,ROUNDUP($CI28/$AP28,0),0)</f>
        <v/>
      </c>
      <c r="EC28" s="43">
        <f>MAX($DX28,0)</f>
        <v/>
      </c>
      <c r="ED28" s="43">
        <f>MAX($DY28,$EC28)</f>
        <v/>
      </c>
      <c r="EE28" s="43">
        <f>MAX($DZ28,$ED28)</f>
        <v/>
      </c>
      <c r="EF28" s="43">
        <f>MAX($EA28,$EE28)</f>
        <v/>
      </c>
      <c r="EG28" s="43">
        <f>MAX($EB28,$EF28)</f>
        <v/>
      </c>
      <c r="EH28" s="43">
        <f>$EC28-0</f>
        <v/>
      </c>
      <c r="EI28" s="43">
        <f>$ED28-$EC28</f>
        <v/>
      </c>
      <c r="EJ28" s="43">
        <f>$EE28-$ED28</f>
        <v/>
      </c>
      <c r="EK28" s="43">
        <f>$EF28-$EE28</f>
        <v/>
      </c>
      <c r="EL28" s="43">
        <f>$EG28-$EF28</f>
        <v/>
      </c>
      <c r="EM28" s="43">
        <f>0</f>
        <v/>
      </c>
      <c r="EN28" s="43">
        <f>(1+$AY28=2)*$ER28</f>
        <v/>
      </c>
      <c r="EO28" s="43">
        <f>(1+$AY28=3)*$ER28+(2+$AY28=3)*$ES28</f>
        <v/>
      </c>
      <c r="EP28" s="43">
        <f>(1+$AY28=4)*$ER28+(2+$AY28=4)*$ES28+(3+$AY28=4)*$ET28</f>
        <v/>
      </c>
      <c r="EQ28" s="43">
        <f>(1+$AY28=5)*$ER28+(2+$AY28=5)*$ES28+(3+$AY28=5)*$ET28+(4+$AY28=5)*$EU28</f>
        <v/>
      </c>
      <c r="ER28" s="43">
        <f>$EH28+$EM28</f>
        <v/>
      </c>
      <c r="ES28" s="43">
        <f>$EI28+$EN28</f>
        <v/>
      </c>
      <c r="ET28" s="43">
        <f>$EJ28+$EO28</f>
        <v/>
      </c>
      <c r="EU28" s="43">
        <f>$EK28+$EP28</f>
        <v/>
      </c>
      <c r="EV28" s="43">
        <f>$EL28+$EQ28</f>
        <v/>
      </c>
      <c r="EW28" s="45">
        <f>$ER28*$V28</f>
        <v/>
      </c>
      <c r="EX28" s="45">
        <f>$ES28*$V28</f>
        <v/>
      </c>
      <c r="EY28" s="45">
        <f>$ET28*$V28</f>
        <v/>
      </c>
      <c r="EZ28" s="45">
        <f>$EU28*$V28</f>
        <v/>
      </c>
      <c r="FA28" s="45">
        <f>$EV28*$V28</f>
        <v/>
      </c>
      <c r="FB28" s="45">
        <f>$EM28*$V28*$X28</f>
        <v/>
      </c>
      <c r="FC28" s="45">
        <f>$EN28*$V28*$X28</f>
        <v/>
      </c>
      <c r="FD28" s="45">
        <f>$EO28*$V28*$X28</f>
        <v/>
      </c>
      <c r="FE28" s="45">
        <f>$EP28*$V28*$X28</f>
        <v/>
      </c>
      <c r="FF28" s="45">
        <f>$EQ28*$V28*$X28</f>
        <v/>
      </c>
      <c r="FG28" s="45">
        <f>$EC28*$V28*(1-$X28)/$AY28</f>
        <v/>
      </c>
      <c r="FH28" s="45">
        <f>$ED28*$V28*(1-$X28)/$AY28</f>
        <v/>
      </c>
      <c r="FI28" s="45">
        <f>$EE28*$V28*(1-$X28)/$AY28</f>
        <v/>
      </c>
      <c r="FJ28" s="45">
        <f>$EF28*$V28*(1-$X28)/$AY28</f>
        <v/>
      </c>
      <c r="FK28" s="45">
        <f>$EG28*$V28*(1-$X28)/$AY28</f>
        <v/>
      </c>
      <c r="FL28" s="45">
        <f>$EC28*$Y28*$Z28*$AA28*8760*$BE28</f>
        <v/>
      </c>
      <c r="FM28" s="45">
        <f>$ED28*$Y28*$Z28*$AA28*8760*$BF28</f>
        <v/>
      </c>
      <c r="FN28" s="45">
        <f>$EE28*$Y28*$Z28*$AA28*8760*$BG28</f>
        <v/>
      </c>
      <c r="FO28" s="45">
        <f>$EF28*$Y28*$Z28*$AA28*8760*$BH28</f>
        <v/>
      </c>
      <c r="FP28" s="45">
        <f>$EG28*$Y28*$Z28*$AA28*8760*$BI28</f>
        <v/>
      </c>
      <c r="FQ28" s="45">
        <f>IF($AC28&gt;0,$AC28,$EC28*$Y28*$AB28*12)*$BE28</f>
        <v/>
      </c>
      <c r="FR28" s="45">
        <f>IF($AC28&gt;0,$AC28,$ED28*$Y28*$AB28*12)*$BF28</f>
        <v/>
      </c>
      <c r="FS28" s="45">
        <f>IF($AC28&gt;0,$AC28,$EE28*$Y28*$AB28*12)*$BG28</f>
        <v/>
      </c>
      <c r="FT28" s="45">
        <f>IF($AC28&gt;0,$AC28,$EF28*$Y28*$AB28*12)*$BH28</f>
        <v/>
      </c>
      <c r="FU28" s="45">
        <f>IF($AC28&gt;0,$AC28,$EG28*$Y28*$AB28*12)*$BI28</f>
        <v/>
      </c>
      <c r="FV28" s="45">
        <f>$EC28*$V28*$AD28*$BE28</f>
        <v/>
      </c>
      <c r="FW28" s="45">
        <f>$ED28*$V28*$AD28*$BF28</f>
        <v/>
      </c>
      <c r="FX28" s="45">
        <f>$EE28*$V28*$AD28*$BG28</f>
        <v/>
      </c>
      <c r="FY28" s="45">
        <f>$EF28*$V28*$AD28*$BH28</f>
        <v/>
      </c>
      <c r="FZ28" s="45">
        <f>$EG28*$V28*$AD28*$BI28</f>
        <v/>
      </c>
      <c r="GA28" s="45">
        <f>$AE28*$BE28</f>
        <v/>
      </c>
      <c r="GB28" s="45">
        <f>$AE28*$BF28</f>
        <v/>
      </c>
      <c r="GC28" s="45">
        <f>$AE28*$BG28</f>
        <v/>
      </c>
      <c r="GD28" s="45">
        <f>$AE28*$BH28</f>
        <v/>
      </c>
      <c r="GE28" s="45">
        <f>$AE28*$BI28</f>
        <v/>
      </c>
      <c r="GF28" s="45">
        <f>$AF28*$AG28*$BE28</f>
        <v/>
      </c>
      <c r="GG28" s="45">
        <f>$AF28*$AG28*$BF28</f>
        <v/>
      </c>
      <c r="GH28" s="45">
        <f>$AF28*$AG28*$BG28</f>
        <v/>
      </c>
      <c r="GI28" s="45">
        <f>$AF28*$AG28*$BH28</f>
        <v/>
      </c>
      <c r="GJ28" s="45">
        <f>$AF28*$AG28*$BI28</f>
        <v/>
      </c>
      <c r="GK28" s="45">
        <f>IF(1=1,$AH28,0)</f>
        <v/>
      </c>
      <c r="GL28" s="45">
        <f>IF(2=1,$AH28,0)</f>
        <v/>
      </c>
      <c r="GM28" s="45">
        <f>IF(3=1,$AH28,0)</f>
        <v/>
      </c>
      <c r="GN28" s="45">
        <f>IF(4=1,$AH28,0)</f>
        <v/>
      </c>
      <c r="GO28" s="45">
        <f>IF(5=1,$AH28,0)</f>
        <v/>
      </c>
      <c r="GP28" s="45">
        <f>$FG28+$FL28+$FQ28+$FV28+$GA28+$GF28+$GK28</f>
        <v/>
      </c>
      <c r="GQ28" s="45">
        <f>$FH28+$FM28+$FR28+$FW28+$GB28+$GG28+$GL28</f>
        <v/>
      </c>
      <c r="GR28" s="45">
        <f>$FI28+$FN28+$FS28+$FX28+$GC28+$GH28+$GM28</f>
        <v/>
      </c>
      <c r="GS28" s="45">
        <f>$FJ28+$FO28+$FT28+$FY28+$GD28+$GI28+$GN28</f>
        <v/>
      </c>
      <c r="GT28" s="45">
        <f>$FK28+$FP28+$FU28+$FZ28+$GE28+$GJ28+$GO28</f>
        <v/>
      </c>
      <c r="GU28" s="45">
        <f>$EW28-$FB28+$GK28</f>
        <v/>
      </c>
      <c r="GV28" s="45">
        <f>$EX28-$FC28+$GL28</f>
        <v/>
      </c>
      <c r="GW28" s="45">
        <f>$EY28-$FD28+$GM28</f>
        <v/>
      </c>
      <c r="GX28" s="45">
        <f>$EZ28-$FE28+$GN28</f>
        <v/>
      </c>
      <c r="GY28" s="45">
        <f>$FA28-$FF28+$GO28</f>
        <v/>
      </c>
      <c r="GZ28" s="45">
        <f>$FL28+$FQ28+$FV28+$GA28+$GF28</f>
        <v/>
      </c>
      <c r="HA28" s="45">
        <f>$FM28+$FR28+$FW28+$GB28+$GG28</f>
        <v/>
      </c>
      <c r="HB28" s="45">
        <f>$FN28+$FS28+$FX28+$GC28+$GH28</f>
        <v/>
      </c>
      <c r="HC28" s="45">
        <f>$FO28+$FT28+$FY28+$GD28+$GI28</f>
        <v/>
      </c>
      <c r="HD28" s="45">
        <f>$FP28+$FU28+$FZ28+$GE28+$GJ28</f>
        <v/>
      </c>
      <c r="HE28" s="45">
        <f>((1&lt;=$AX28)*(1&gt;$AX28-$AY28))*$ER28*$V28*MAX(0,1-(1-$X28)*($AX28-1+1)/$AY28)+((2&lt;=$AX28)*(2&gt;$AX28-$AY28))*$ES28*$V28*MAX(0,1-(1-$X28)*($AX28-2+1)/$AY28)+((3&lt;=$AX28)*(3&gt;$AX28-$AY28))*$ET28*$V28*MAX(0,1-(1-$X28)*($AX28-3+1)/$AY28)+((4&lt;=$AX28)*(4&gt;$AX28-$AY28))*$EU28*$V28*MAX(0,1-(1-$X28)*($AX28-4+1)/$AY28)+((5&lt;=$AX28)*(5&gt;$AX28-$AY28))*$EV28*$V28*MAX(0,1-(1-$X28)*($AX28-5+1)/$AY28)</f>
        <v/>
      </c>
      <c r="HF28" s="45">
        <f>SUMPRODUCT($AZ28:$BD28,$GP28:$GT28)</f>
        <v/>
      </c>
      <c r="HG28" s="45">
        <f>SUM($GP28:$GR28)</f>
        <v/>
      </c>
      <c r="HH28" s="45">
        <f>SUM($GP28:$GT28)</f>
        <v/>
      </c>
      <c r="HI28" s="45">
        <f>SUMPRODUCT($AZ28:$BD28,$GU28:$GY28,$BJ28:$BN28)+SUMPRODUCT($AZ28:$BD28,$GZ28:$HD28,$BO28:$BS28)-$HE28/(1+$AM28)^$AX28</f>
        <v/>
      </c>
      <c r="HJ28" s="46">
        <f>MIN(1,MAX(0,IF(ISNUMBER($AJ28),$AJ28,IF($F28+$G28+$H28&gt;0,($G28+$H28)/($F28+$G28+$H28),0))*$AR28))</f>
        <v/>
      </c>
      <c r="HK28" s="25">
        <f>IF($HJ28&gt;0,1,0)</f>
        <v/>
      </c>
      <c r="HL28" s="25">
        <f>IF($HJ28&lt;1,1,0)</f>
        <v/>
      </c>
      <c r="HM28" s="43">
        <f>IF($CE28*$HJ28&gt;0,ROUNDUP($CE28*$HJ28/$AP28,0),0)</f>
        <v/>
      </c>
      <c r="HN28" s="43">
        <f>IF($CF28*$HJ28&gt;0,ROUNDUP($CF28*$HJ28/$AP28,0),0)</f>
        <v/>
      </c>
      <c r="HO28" s="43">
        <f>IF($CG28*$HJ28&gt;0,ROUNDUP($CG28*$HJ28/$AP28,0),0)</f>
        <v/>
      </c>
      <c r="HP28" s="43">
        <f>IF($CH28*$HJ28&gt;0,ROUNDUP($CH28*$HJ28/$AP28,0),0)</f>
        <v/>
      </c>
      <c r="HQ28" s="43">
        <f>IF($CI28*$HJ28&gt;0,ROUNDUP($CI28*$HJ28/$AP28,0),0)</f>
        <v/>
      </c>
      <c r="HR28" s="43">
        <f>MAX($HM28,0)</f>
        <v/>
      </c>
      <c r="HS28" s="43">
        <f>MAX($HN28,$HR28)</f>
        <v/>
      </c>
      <c r="HT28" s="43">
        <f>MAX($HO28,$HS28)</f>
        <v/>
      </c>
      <c r="HU28" s="43">
        <f>MAX($HP28,$HT28)</f>
        <v/>
      </c>
      <c r="HV28" s="43">
        <f>MAX($HQ28,$HU28)</f>
        <v/>
      </c>
      <c r="HW28" s="43">
        <f>$HR28-0</f>
        <v/>
      </c>
      <c r="HX28" s="43">
        <f>$HS28-$HR28</f>
        <v/>
      </c>
      <c r="HY28" s="43">
        <f>$HT28-$HS28</f>
        <v/>
      </c>
      <c r="HZ28" s="43">
        <f>$HU28-$HT28</f>
        <v/>
      </c>
      <c r="IA28" s="43">
        <f>$HV28-$HU28</f>
        <v/>
      </c>
      <c r="IB28" s="43">
        <f>0</f>
        <v/>
      </c>
      <c r="IC28" s="43">
        <f>(1+$AY28=2)*$IG28</f>
        <v/>
      </c>
      <c r="ID28" s="43">
        <f>(1+$AY28=3)*$IG28+(2+$AY28=3)*$IH28</f>
        <v/>
      </c>
      <c r="IE28" s="43">
        <f>(1+$AY28=4)*$IG28+(2+$AY28=4)*$IH28+(3+$AY28=4)*$II28</f>
        <v/>
      </c>
      <c r="IF28" s="43">
        <f>(1+$AY28=5)*$IG28+(2+$AY28=5)*$IH28+(3+$AY28=5)*$II28+(4+$AY28=5)*$IJ28</f>
        <v/>
      </c>
      <c r="IG28" s="43">
        <f>$HW28+$IB28</f>
        <v/>
      </c>
      <c r="IH28" s="43">
        <f>$HX28+$IC28</f>
        <v/>
      </c>
      <c r="II28" s="43">
        <f>$HY28+$ID28</f>
        <v/>
      </c>
      <c r="IJ28" s="43">
        <f>$HZ28+$IE28</f>
        <v/>
      </c>
      <c r="IK28" s="43">
        <f>$IA28+$IF28</f>
        <v/>
      </c>
      <c r="IL28" s="45">
        <f>$IG28*$V28</f>
        <v/>
      </c>
      <c r="IM28" s="45">
        <f>$IH28*$V28</f>
        <v/>
      </c>
      <c r="IN28" s="45">
        <f>$II28*$V28</f>
        <v/>
      </c>
      <c r="IO28" s="45">
        <f>$IJ28*$V28</f>
        <v/>
      </c>
      <c r="IP28" s="45">
        <f>$IK28*$V28</f>
        <v/>
      </c>
      <c r="IQ28" s="45">
        <f>$IB28*$V28*$X28</f>
        <v/>
      </c>
      <c r="IR28" s="45">
        <f>$IC28*$V28*$X28</f>
        <v/>
      </c>
      <c r="IS28" s="45">
        <f>$ID28*$V28*$X28</f>
        <v/>
      </c>
      <c r="IT28" s="45">
        <f>$IE28*$V28*$X28</f>
        <v/>
      </c>
      <c r="IU28" s="45">
        <f>$IF28*$V28*$X28</f>
        <v/>
      </c>
      <c r="IV28" s="45">
        <f>$HR28*$V28*(1-$X28)/$AY28</f>
        <v/>
      </c>
      <c r="IW28" s="45">
        <f>$HS28*$V28*(1-$X28)/$AY28</f>
        <v/>
      </c>
      <c r="IX28" s="45">
        <f>$HT28*$V28*(1-$X28)/$AY28</f>
        <v/>
      </c>
      <c r="IY28" s="45">
        <f>$HU28*$V28*(1-$X28)/$AY28</f>
        <v/>
      </c>
      <c r="IZ28" s="45">
        <f>$HV28*$V28*(1-$X28)/$AY28</f>
        <v/>
      </c>
      <c r="JA28" s="45">
        <f>$HR28*$Y28*$Z28*$AA28*8760*$BE28</f>
        <v/>
      </c>
      <c r="JB28" s="45">
        <f>$HS28*$Y28*$Z28*$AA28*8760*$BF28</f>
        <v/>
      </c>
      <c r="JC28" s="45">
        <f>$HT28*$Y28*$Z28*$AA28*8760*$BG28</f>
        <v/>
      </c>
      <c r="JD28" s="45">
        <f>$HU28*$Y28*$Z28*$AA28*8760*$BH28</f>
        <v/>
      </c>
      <c r="JE28" s="45">
        <f>$HV28*$Y28*$Z28*$AA28*8760*$BI28</f>
        <v/>
      </c>
      <c r="JF28" s="45">
        <f>IF($AC28&gt;0,$AC28*$HK28,$HR28*$Y28*$AB28*12)*$BE28</f>
        <v/>
      </c>
      <c r="JG28" s="45">
        <f>IF($AC28&gt;0,$AC28*$HK28,$HS28*$Y28*$AB28*12)*$BF28</f>
        <v/>
      </c>
      <c r="JH28" s="45">
        <f>IF($AC28&gt;0,$AC28*$HK28,$HT28*$Y28*$AB28*12)*$BG28</f>
        <v/>
      </c>
      <c r="JI28" s="45">
        <f>IF($AC28&gt;0,$AC28*$HK28,$HU28*$Y28*$AB28*12)*$BH28</f>
        <v/>
      </c>
      <c r="JJ28" s="45">
        <f>IF($AC28&gt;0,$AC28*$HK28,$HV28*$Y28*$AB28*12)*$BI28</f>
        <v/>
      </c>
      <c r="JK28" s="45">
        <f>$HR28*$V28*$AD28*$BE28</f>
        <v/>
      </c>
      <c r="JL28" s="45">
        <f>$HS28*$V28*$AD28*$BF28</f>
        <v/>
      </c>
      <c r="JM28" s="45">
        <f>$HT28*$V28*$AD28*$BG28</f>
        <v/>
      </c>
      <c r="JN28" s="45">
        <f>$HU28*$V28*$AD28*$BH28</f>
        <v/>
      </c>
      <c r="JO28" s="45">
        <f>$HV28*$V28*$AD28*$BI28</f>
        <v/>
      </c>
      <c r="JP28" s="45">
        <f>$AE28*$BE28*$HK28</f>
        <v/>
      </c>
      <c r="JQ28" s="45">
        <f>$AE28*$BF28*$HK28</f>
        <v/>
      </c>
      <c r="JR28" s="45">
        <f>$AE28*$BG28*$HK28</f>
        <v/>
      </c>
      <c r="JS28" s="45">
        <f>$AE28*$BH28*$HK28</f>
        <v/>
      </c>
      <c r="JT28" s="45">
        <f>$AE28*$BI28*$HK28</f>
        <v/>
      </c>
      <c r="JU28" s="45">
        <f>$AQ28*$AG28*$BE28*$HK28</f>
        <v/>
      </c>
      <c r="JV28" s="45">
        <f>$AQ28*$AG28*$BF28*$HK28</f>
        <v/>
      </c>
      <c r="JW28" s="45">
        <f>$AQ28*$AG28*$BG28*$HK28</f>
        <v/>
      </c>
      <c r="JX28" s="45">
        <f>$AQ28*$AG28*$BH28*$HK28</f>
        <v/>
      </c>
      <c r="JY28" s="45">
        <f>$AQ28*$AG28*$BI28*$HK28</f>
        <v/>
      </c>
      <c r="JZ28" s="45">
        <f>$BU28*(1-$HJ28)/1000000*$CJ28</f>
        <v/>
      </c>
      <c r="KA28" s="45">
        <f>$BV28*(1-$HJ28)/1000000*$CK28</f>
        <v/>
      </c>
      <c r="KB28" s="45">
        <f>$BW28*(1-$HJ28)/1000000*$CL28</f>
        <v/>
      </c>
      <c r="KC28" s="45">
        <f>$BX28*(1-$HJ28)/1000000*$CM28</f>
        <v/>
      </c>
      <c r="KD28" s="45">
        <f>$BY28*(1-$HJ28)/1000000*$CN28</f>
        <v/>
      </c>
      <c r="KE28" s="45">
        <f>$CT28*$HL28</f>
        <v/>
      </c>
      <c r="KF28" s="45">
        <f>$CU28*$HL28</f>
        <v/>
      </c>
      <c r="KG28" s="45">
        <f>$CV28*$HL28</f>
        <v/>
      </c>
      <c r="KH28" s="45">
        <f>$CW28*$HL28</f>
        <v/>
      </c>
      <c r="KI28" s="45">
        <f>$CX28*$HL28</f>
        <v/>
      </c>
      <c r="KJ28" s="45">
        <f>IF(1=1,$R28*$HL28+$AH28*$HK28+$AK28,0)</f>
        <v/>
      </c>
      <c r="KK28" s="45">
        <f>IF(2=1,$R28*$HL28+$AH28*$HK28+$AK28,0)</f>
        <v/>
      </c>
      <c r="KL28" s="45">
        <f>IF(3=1,$R28*$HL28+$AH28*$HK28+$AK28,0)</f>
        <v/>
      </c>
      <c r="KM28" s="45">
        <f>IF(4=1,$R28*$HL28+$AH28*$HK28+$AK28,0)</f>
        <v/>
      </c>
      <c r="KN28" s="45">
        <f>IF(5=1,$R28*$HL28+$AH28*$HK28+$AK28,0)</f>
        <v/>
      </c>
      <c r="KO28" s="45">
        <f>$IV28+$JA28+$JF28+$JK28+$JP28+$JU28+$JZ28+$KE28+$KJ28</f>
        <v/>
      </c>
      <c r="KP28" s="45">
        <f>$IW28+$JB28+$JG28+$JL28+$JQ28+$JV28+$KA28+$KF28+$KK28</f>
        <v/>
      </c>
      <c r="KQ28" s="45">
        <f>$IX28+$JC28+$JH28+$JM28+$JR28+$JW28+$KB28+$KG28+$KL28</f>
        <v/>
      </c>
      <c r="KR28" s="45">
        <f>$IY28+$JD28+$JI28+$JN28+$JS28+$JX28+$KC28+$KH28+$KM28</f>
        <v/>
      </c>
      <c r="KS28" s="45">
        <f>$IZ28+$JE28+$JJ28+$JO28+$JT28+$JY28+$KD28+$KI28+$KN28</f>
        <v/>
      </c>
      <c r="KT28" s="45">
        <f>$IL28-$IQ28+$KJ28</f>
        <v/>
      </c>
      <c r="KU28" s="45">
        <f>$IM28-$IR28+$KK28</f>
        <v/>
      </c>
      <c r="KV28" s="45">
        <f>$IN28-$IS28+$KL28</f>
        <v/>
      </c>
      <c r="KW28" s="45">
        <f>$IO28-$IT28+$KM28</f>
        <v/>
      </c>
      <c r="KX28" s="45">
        <f>$IP28-$IU28+$KN28</f>
        <v/>
      </c>
      <c r="KY28" s="45">
        <f>$JA28+$JF28+$JK28+$JP28+$JU28+$JZ28+$KE28</f>
        <v/>
      </c>
      <c r="KZ28" s="45">
        <f>$JB28+$JG28+$JL28+$JQ28+$JV28+$KA28+$KF28</f>
        <v/>
      </c>
      <c r="LA28" s="45">
        <f>$JC28+$JH28+$JM28+$JR28+$JW28+$KB28+$KG28</f>
        <v/>
      </c>
      <c r="LB28" s="45">
        <f>$JD28+$JI28+$JN28+$JS28+$JX28+$KC28+$KH28</f>
        <v/>
      </c>
      <c r="LC28" s="45">
        <f>$JE28+$JJ28+$JO28+$JT28+$JY28+$KD28+$KI28</f>
        <v/>
      </c>
      <c r="LD28" s="45">
        <f>((1&lt;=$AX28)*(1&gt;$AX28-$AY28))*$IG28*$V28*MAX(0,1-(1-$X28)*($AX28-1+1)/$AY28)+((2&lt;=$AX28)*(2&gt;$AX28-$AY28))*$IH28*$V28*MAX(0,1-(1-$X28)*($AX28-2+1)/$AY28)+((3&lt;=$AX28)*(3&gt;$AX28-$AY28))*$II28*$V28*MAX(0,1-(1-$X28)*($AX28-3+1)/$AY28)+((4&lt;=$AX28)*(4&gt;$AX28-$AY28))*$IJ28*$V28*MAX(0,1-(1-$X28)*($AX28-4+1)/$AY28)+((5&lt;=$AX28)*(5&gt;$AX28-$AY28))*$IK28*$V28*MAX(0,1-(1-$X28)*($AX28-5+1)/$AY28)</f>
        <v/>
      </c>
      <c r="LE28" s="45">
        <f>SUMPRODUCT($AZ28:$BD28,$KO28:$KS28)</f>
        <v/>
      </c>
      <c r="LF28" s="45">
        <f>SUM($KO28:$KQ28)</f>
        <v/>
      </c>
      <c r="LG28" s="45">
        <f>SUM($KO28:$KS28)</f>
        <v/>
      </c>
      <c r="LH28" s="45">
        <f>SUMPRODUCT($AZ28:$BD28,$KT28:$KX28,$BJ28:$BN28)+SUMPRODUCT($AZ28:$BD28,$KY28:$LC28,$BO28:$BS28)-$LD28/(1+$AM28)^$AX28</f>
        <v/>
      </c>
      <c r="LI28" s="43">
        <f>$BU28/1000000</f>
        <v/>
      </c>
      <c r="LJ28" s="44">
        <f>IF($LI28&gt;0,$DD28/$LI28,0)</f>
        <v/>
      </c>
      <c r="LK28" s="44">
        <f>IF($LI28&gt;0,$GP28/$LI28,0)</f>
        <v/>
      </c>
      <c r="LL28" s="44">
        <f>IF($LI28&gt;0,$KO28/$LI28,0)</f>
        <v/>
      </c>
      <c r="LM28" s="43">
        <f>$AP28*31536000/1000000</f>
        <v/>
      </c>
      <c r="LN28" s="43">
        <f>$EC28*$LM28</f>
        <v/>
      </c>
      <c r="LO28" s="45">
        <f>$FG28+$FL28+$FQ28+$FV28+$GA28+$GF28</f>
        <v/>
      </c>
      <c r="LP28" s="46">
        <f>IF($LN28*$CJ28&gt;0,MAX(0,($LO28-$CT28)/($LN28*$CJ28)),0)</f>
        <v/>
      </c>
      <c r="LQ28" s="46">
        <f>IF($LN28&gt;0,$LI28/$LN28,0)</f>
        <v/>
      </c>
      <c r="LR28" s="46">
        <f>1/($M28*$AI28)</f>
        <v/>
      </c>
      <c r="LS28" s="43">
        <f>$HR28*$LM28</f>
        <v/>
      </c>
      <c r="LT28" s="45">
        <f>$IV28+$JA28+$JF28+$JK28+$JP28+$JU28</f>
        <v/>
      </c>
      <c r="LU28" s="46">
        <f>IF($LS28*$CJ28&gt;0,$LT28/($LS28*$CJ28),0)</f>
        <v/>
      </c>
      <c r="LV28" s="46">
        <f>IF($LS28&gt;0,$LI28*$HJ28/$LS28,0)</f>
        <v/>
      </c>
      <c r="LW28" s="45">
        <f>$V28*(1-$X28)/$AY28+$Y28*$Z28*$AA28*8760+IF($AC28&gt;0,0,$Y28*$AB28*12)+$V28*$AD28</f>
        <v/>
      </c>
      <c r="LX28" s="46">
        <f>IF($LM28*$CJ28&gt;0,$LW28/($LM28*$CJ28),0)</f>
        <v/>
      </c>
      <c r="LY28" s="44">
        <f>IF($LM28*$LR28&gt;0,$LW28/($LM28*$LR28),0)</f>
        <v/>
      </c>
      <c r="LZ28" s="45">
        <f>$AE28+$AF28*$AG28+IF($AC28&gt;0,$AC28,0)-$CT28</f>
        <v/>
      </c>
      <c r="MA28" s="43">
        <f>IF($CJ28&gt;$LY28,MAX(0,$LZ28)/($CJ28-$LY28)*1000000,"Not reachable")</f>
        <v/>
      </c>
      <c r="MB28" s="47">
        <f>IF(AND(ISNUMBER($MA28),$BU28&gt;0),$MA28/$BU28,"n/a")</f>
        <v/>
      </c>
      <c r="MC28" s="47">
        <f>$B28*MAX(0,$D28-1)*$E28</f>
        <v/>
      </c>
      <c r="MD28" s="45">
        <f>$MC28*$C28</f>
        <v/>
      </c>
      <c r="ME28" s="45">
        <f>$MD28*SUMPRODUCT($AZ28:$BD28,$BO28:$BS28)</f>
        <v/>
      </c>
      <c r="MF28" s="45">
        <f>IF($AO28="Yes",$ME28-$DW28,0)</f>
        <v/>
      </c>
      <c r="MG28" s="45">
        <f>IF($AO28="Yes",$ME28-$HI28,0)</f>
        <v/>
      </c>
      <c r="MH28" s="45">
        <f>IF($AO28="Yes",$ME28-$LH28,0)</f>
        <v/>
      </c>
      <c r="MI28" s="45">
        <f>IF($AO28="Yes",$MD28-$DD28,0)</f>
        <v/>
      </c>
      <c r="MJ28" s="25">
        <f>IF(AND($DW28&lt;=$HI28,$DW28&lt;=$LH28),"Rent the Frontier",IF($HI28&lt;=$LH28,"Own the Frontier","Hybrid"))</f>
        <v/>
      </c>
      <c r="MK28" s="25">
        <f>IF(AND($DT28&lt;=$HF28,$DT28&lt;=$LE28),"Rent the Frontier",IF($HF28&lt;=$LE28,"Own the Frontier","Hybrid"))</f>
        <v/>
      </c>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Ryan Huff</dc:creator>
  <dc:title xmlns:dc="http://purl.org/dc/elements/1.1/">AI Acquisition Strategy: Rent vs. Own vs. Hybrid TCO Decision Model v1.6</dc:title>
  <dc:language xmlns:dc="http://purl.org/dc/elements/1.1/">en-US</dc:language>
  <dcterms:created xmlns:dcterms="http://purl.org/dc/terms/" xmlns:xsi="http://www.w3.org/2001/XMLSchema-instance" xsi:type="dcterms:W3CDTF">2026-10-19T17:37:52Z</dcterms:created>
  <dcterms:modified xmlns:dcterms="http://purl.org/dc/terms/" xmlns:xsi="http://www.w3.org/2001/XMLSchema-instance" xsi:type="dcterms:W3CDTF">2026-10-19T19:49:18Z</dcterms:modified>
  <cp:revision>3</cp:revision>
</cp:coreProperties>
</file>